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3C72DB5D-566E-4DCB-A7CB-A5B44F587CD1}" xr6:coauthVersionLast="47" xr6:coauthVersionMax="47" xr10:uidLastSave="{00000000-0000-0000-0000-000000000000}"/>
  <bookViews>
    <workbookView xWindow="-120" yWindow="-120" windowWidth="29040" windowHeight="15720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85" i="7"/>
  <c r="A66" i="7"/>
  <c r="A1" i="7"/>
  <c r="A29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<sst xmlns="http://schemas.openxmlformats.org/spreadsheetml/2006/main" count="97" uniqueCount="81">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</sst>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71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II Kwartały 2024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4486442864.78</f>
        <v>4486442864.7799997</v>
      </c>
      <c r="C13" s="20">
        <f>2617485216.61</f>
        <v>2617485216.6100001</v>
      </c>
      <c r="D13" s="20">
        <f>159637068.42</f>
        <v>159637068.41999999</v>
      </c>
      <c r="E13" s="20">
        <f>158000000</f>
        <v>158000000</v>
      </c>
      <c r="F13" s="20">
        <f>0</f>
        <v>0</v>
      </c>
      <c r="G13" s="20">
        <f>1637068.42</f>
        <v>1637068.42</v>
      </c>
      <c r="H13" s="20">
        <f>0</f>
        <v>0</v>
      </c>
      <c r="I13" s="20">
        <f>0</f>
        <v>0</v>
      </c>
      <c r="J13" s="20">
        <f>2289258471.96</f>
        <v>2289258471.96</v>
      </c>
      <c r="K13" s="20">
        <f>0</f>
        <v>0</v>
      </c>
      <c r="L13" s="20">
        <f>167252502.87</f>
        <v>167252502.87</v>
      </c>
      <c r="M13" s="20">
        <f>1329927.18</f>
        <v>1329927.18</v>
      </c>
      <c r="N13" s="20">
        <f>7246.18</f>
        <v>7246.18</v>
      </c>
      <c r="O13" s="20">
        <f>1868957648.17</f>
        <v>1868957648.1700001</v>
      </c>
      <c r="P13" s="20">
        <f>1868957648.17</f>
        <v>1868957648.1700001</v>
      </c>
      <c r="Q13" s="20">
        <f>0</f>
        <v>0</v>
      </c>
    </row>
    <row r="14" spans="1:17" ht="28.5" customHeight="1" x14ac:dyDescent="0.2">
      <c r="A14" s="19" t="s">
        <v>45</v>
      </c>
      <c r="B14" s="20">
        <f>202950000</f>
        <v>202950000</v>
      </c>
      <c r="C14" s="20">
        <f>202950000</f>
        <v>202950000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202950000</f>
        <v>202950000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202950000</f>
        <v>202950000</v>
      </c>
      <c r="C16" s="21">
        <f>202950000</f>
        <v>202950000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202950000</f>
        <v>202950000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4281267400.55</f>
        <v>4281267400.5500002</v>
      </c>
      <c r="C17" s="20">
        <f>2412309752.38</f>
        <v>2412309752.3800001</v>
      </c>
      <c r="D17" s="20">
        <f>159608876.42</f>
        <v>159608876.41999999</v>
      </c>
      <c r="E17" s="20">
        <f>158000000</f>
        <v>158000000</v>
      </c>
      <c r="F17" s="20">
        <f>0</f>
        <v>0</v>
      </c>
      <c r="G17" s="20">
        <f>1608876.42</f>
        <v>1608876.42</v>
      </c>
      <c r="H17" s="20">
        <f>0</f>
        <v>0</v>
      </c>
      <c r="I17" s="20">
        <f>0</f>
        <v>0</v>
      </c>
      <c r="J17" s="20">
        <f>2086307275.96</f>
        <v>2086307275.96</v>
      </c>
      <c r="K17" s="20">
        <f>0</f>
        <v>0</v>
      </c>
      <c r="L17" s="20">
        <f>166393600</f>
        <v>166393600</v>
      </c>
      <c r="M17" s="20">
        <f>0</f>
        <v>0</v>
      </c>
      <c r="N17" s="20">
        <f>0</f>
        <v>0</v>
      </c>
      <c r="O17" s="20">
        <f>1868957648.17</f>
        <v>1868957648.1700001</v>
      </c>
      <c r="P17" s="20">
        <f>1868957648.17</f>
        <v>1868957648.1700001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4281267400.55</f>
        <v>4281267400.5500002</v>
      </c>
      <c r="C19" s="21">
        <f>2412309752.38</f>
        <v>2412309752.3800001</v>
      </c>
      <c r="D19" s="21">
        <f>159608876.42</f>
        <v>159608876.41999999</v>
      </c>
      <c r="E19" s="21">
        <f>158000000</f>
        <v>158000000</v>
      </c>
      <c r="F19" s="21">
        <f>0</f>
        <v>0</v>
      </c>
      <c r="G19" s="21">
        <f>1608876.42</f>
        <v>1608876.42</v>
      </c>
      <c r="H19" s="21">
        <f>0</f>
        <v>0</v>
      </c>
      <c r="I19" s="21">
        <f>0</f>
        <v>0</v>
      </c>
      <c r="J19" s="21">
        <f>2086307275.96</f>
        <v>2086307275.96</v>
      </c>
      <c r="K19" s="21">
        <f>0</f>
        <v>0</v>
      </c>
      <c r="L19" s="21">
        <f>166393600</f>
        <v>166393600</v>
      </c>
      <c r="M19" s="21">
        <f>0</f>
        <v>0</v>
      </c>
      <c r="N19" s="21">
        <f>0</f>
        <v>0</v>
      </c>
      <c r="O19" s="21">
        <f>1868957648.17</f>
        <v>1868957648.1700001</v>
      </c>
      <c r="P19" s="21">
        <f>1868957648.17</f>
        <v>1868957648.1700001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2225464.23</f>
        <v>2225464.23</v>
      </c>
      <c r="C21" s="20">
        <f>2225464.23</f>
        <v>2225464.23</v>
      </c>
      <c r="D21" s="20">
        <f>28192</f>
        <v>28192</v>
      </c>
      <c r="E21" s="20">
        <f>0</f>
        <v>0</v>
      </c>
      <c r="F21" s="20">
        <f>0</f>
        <v>0</v>
      </c>
      <c r="G21" s="20">
        <f>28192</f>
        <v>28192</v>
      </c>
      <c r="H21" s="20">
        <f>0</f>
        <v>0</v>
      </c>
      <c r="I21" s="20">
        <f>0</f>
        <v>0</v>
      </c>
      <c r="J21" s="20">
        <f>1196</f>
        <v>1196</v>
      </c>
      <c r="K21" s="20">
        <f>0</f>
        <v>0</v>
      </c>
      <c r="L21" s="20">
        <f>858902.87</f>
        <v>858902.87</v>
      </c>
      <c r="M21" s="20">
        <f>1329927.18</f>
        <v>1329927.18</v>
      </c>
      <c r="N21" s="20">
        <f>7246.18</f>
        <v>7246.18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933501.8</f>
        <v>933501.8</v>
      </c>
      <c r="C22" s="21">
        <f>933501.8</f>
        <v>933501.8</v>
      </c>
      <c r="D22" s="21">
        <f>27792</f>
        <v>27792</v>
      </c>
      <c r="E22" s="21">
        <f>0</f>
        <v>0</v>
      </c>
      <c r="F22" s="21">
        <f>0</f>
        <v>0</v>
      </c>
      <c r="G22" s="21">
        <f>27792</f>
        <v>27792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842652.87</f>
        <v>842652.87</v>
      </c>
      <c r="M22" s="21">
        <f>55810.75</f>
        <v>55810.75</v>
      </c>
      <c r="N22" s="21">
        <f>7246.18</f>
        <v>7246.18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1291962.43</f>
        <v>1291962.43</v>
      </c>
      <c r="C23" s="21">
        <f>1291962.43</f>
        <v>1291962.43</v>
      </c>
      <c r="D23" s="21">
        <f>400</f>
        <v>400</v>
      </c>
      <c r="E23" s="21">
        <f>0</f>
        <v>0</v>
      </c>
      <c r="F23" s="21">
        <f>0</f>
        <v>0</v>
      </c>
      <c r="G23" s="21">
        <f>400</f>
        <v>400</v>
      </c>
      <c r="H23" s="21">
        <f>0</f>
        <v>0</v>
      </c>
      <c r="I23" s="21">
        <f>0</f>
        <v>0</v>
      </c>
      <c r="J23" s="21">
        <f>1196</f>
        <v>1196</v>
      </c>
      <c r="K23" s="21">
        <f>0</f>
        <v>0</v>
      </c>
      <c r="L23" s="21">
        <f>16250</f>
        <v>16250</v>
      </c>
      <c r="M23" s="21">
        <f>1274116.43</f>
        <v>1274116.43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II Kwartały 2024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534939468.2</f>
        <v>534939468.19999999</v>
      </c>
      <c r="C43" s="22">
        <f>534939468.2</f>
        <v>534939468.19999999</v>
      </c>
      <c r="D43" s="22">
        <f>479122141.6</f>
        <v>479122141.60000002</v>
      </c>
      <c r="E43" s="22">
        <f>84115.96</f>
        <v>84115.96</v>
      </c>
      <c r="F43" s="22">
        <f>8561.64</f>
        <v>8561.64</v>
      </c>
      <c r="G43" s="22">
        <f>479029464</f>
        <v>479029464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51117959.55</f>
        <v>51117959.549999997</v>
      </c>
      <c r="M43" s="22">
        <f>4084408.74</f>
        <v>4084408.74</v>
      </c>
      <c r="N43" s="22">
        <f>614958.31</f>
        <v>614958.31000000006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32185498.62</f>
        <v>32185498.620000001</v>
      </c>
      <c r="C44" s="23">
        <f>32185498.62</f>
        <v>32185498.620000001</v>
      </c>
      <c r="D44" s="23">
        <f>32092477</f>
        <v>32092477</v>
      </c>
      <c r="E44" s="23">
        <f>0</f>
        <v>0</v>
      </c>
      <c r="F44" s="23">
        <f>0</f>
        <v>0</v>
      </c>
      <c r="G44" s="23">
        <f>32092477</f>
        <v>32092477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10000</f>
        <v>10000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502753969.58</f>
        <v>502753969.57999998</v>
      </c>
      <c r="C45" s="23">
        <f>502753969.58</f>
        <v>502753969.57999998</v>
      </c>
      <c r="D45" s="23">
        <f>447029664.6</f>
        <v>447029664.60000002</v>
      </c>
      <c r="E45" s="23">
        <f>84115.96</f>
        <v>84115.96</v>
      </c>
      <c r="F45" s="23">
        <f>8561.64</f>
        <v>8561.64</v>
      </c>
      <c r="G45" s="23">
        <f>446936987</f>
        <v>446936987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51034937.93</f>
        <v>51034937.93</v>
      </c>
      <c r="M45" s="23">
        <f>4084408.74</f>
        <v>4084408.74</v>
      </c>
      <c r="N45" s="23">
        <f>604958.31</f>
        <v>604958.31000000006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10248731188.66</f>
        <v>10248731188.66</v>
      </c>
      <c r="C46" s="22">
        <f>10248463379</f>
        <v>10248463379</v>
      </c>
      <c r="D46" s="22">
        <f>419432.72</f>
        <v>419432.72</v>
      </c>
      <c r="E46" s="22">
        <f>600</f>
        <v>600</v>
      </c>
      <c r="F46" s="22">
        <f>16265.52</f>
        <v>16265.52</v>
      </c>
      <c r="G46" s="22">
        <f>402567.2</f>
        <v>402567.2</v>
      </c>
      <c r="H46" s="22">
        <f>0</f>
        <v>0</v>
      </c>
      <c r="I46" s="22">
        <f>0</f>
        <v>0</v>
      </c>
      <c r="J46" s="22">
        <f>10244426564.31</f>
        <v>10244426564.309999</v>
      </c>
      <c r="K46" s="22">
        <f>0</f>
        <v>0</v>
      </c>
      <c r="L46" s="22">
        <f>3608318.34</f>
        <v>3608318.34</v>
      </c>
      <c r="M46" s="22">
        <f>9063.63</f>
        <v>9063.6299999999992</v>
      </c>
      <c r="N46" s="22">
        <f>0</f>
        <v>0</v>
      </c>
      <c r="O46" s="22">
        <f>267809.66</f>
        <v>267809.65999999997</v>
      </c>
      <c r="P46" s="22">
        <f>267809.66</f>
        <v>267809.65999999997</v>
      </c>
      <c r="Q46" s="22">
        <f>0</f>
        <v>0</v>
      </c>
    </row>
    <row r="47" spans="1:17" ht="24" customHeight="1" x14ac:dyDescent="0.2">
      <c r="A47" s="18" t="s">
        <v>33</v>
      </c>
      <c r="B47" s="23">
        <f>402567.2</f>
        <v>402567.2</v>
      </c>
      <c r="C47" s="23">
        <f>402567.2</f>
        <v>402567.2</v>
      </c>
      <c r="D47" s="23">
        <f>402567.2</f>
        <v>402567.2</v>
      </c>
      <c r="E47" s="23">
        <f>0</f>
        <v>0</v>
      </c>
      <c r="F47" s="23">
        <f>0</f>
        <v>0</v>
      </c>
      <c r="G47" s="23">
        <f>402567.2</f>
        <v>402567.2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6144400786.52</f>
        <v>6144400786.5200005</v>
      </c>
      <c r="C48" s="23">
        <f>6144400786.52</f>
        <v>6144400786.5200005</v>
      </c>
      <c r="D48" s="23">
        <f>600</f>
        <v>600</v>
      </c>
      <c r="E48" s="23">
        <f>600</f>
        <v>600</v>
      </c>
      <c r="F48" s="23">
        <f>0</f>
        <v>0</v>
      </c>
      <c r="G48" s="23">
        <f>0</f>
        <v>0</v>
      </c>
      <c r="H48" s="23">
        <f>0</f>
        <v>0</v>
      </c>
      <c r="I48" s="23">
        <f>0</f>
        <v>0</v>
      </c>
      <c r="J48" s="23">
        <f>6140816144.29</f>
        <v>6140816144.29</v>
      </c>
      <c r="K48" s="23">
        <f>0</f>
        <v>0</v>
      </c>
      <c r="L48" s="23">
        <f>3574978.6</f>
        <v>3574978.6</v>
      </c>
      <c r="M48" s="23">
        <f>9063.63</f>
        <v>9063.6299999999992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4103927834.94</f>
        <v>4103927834.9400001</v>
      </c>
      <c r="C49" s="23">
        <f>4103660025.28</f>
        <v>4103660025.2800002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4103610420.02</f>
        <v>4103610420.02</v>
      </c>
      <c r="K49" s="23">
        <f>0</f>
        <v>0</v>
      </c>
      <c r="L49" s="23">
        <f>33339.74</f>
        <v>33339.74</v>
      </c>
      <c r="M49" s="23">
        <f>0</f>
        <v>0</v>
      </c>
      <c r="N49" s="23">
        <f>0</f>
        <v>0</v>
      </c>
      <c r="O49" s="23">
        <f>267809.66</f>
        <v>267809.65999999997</v>
      </c>
      <c r="P49" s="23">
        <f>267809.66</f>
        <v>267809.65999999997</v>
      </c>
      <c r="Q49" s="23">
        <f>0</f>
        <v>0</v>
      </c>
    </row>
    <row r="50" spans="1:17" ht="30.75" customHeight="1" x14ac:dyDescent="0.2">
      <c r="A50" s="24" t="s">
        <v>43</v>
      </c>
      <c r="B50" s="22">
        <f>4904223089.53</f>
        <v>4904223089.5299997</v>
      </c>
      <c r="C50" s="22">
        <f>4901814644.78</f>
        <v>4901814644.7799997</v>
      </c>
      <c r="D50" s="22">
        <f>13028594.67</f>
        <v>13028594.67</v>
      </c>
      <c r="E50" s="22">
        <f>25495.88</f>
        <v>25495.88</v>
      </c>
      <c r="F50" s="22">
        <f>57907.04</f>
        <v>57907.040000000001</v>
      </c>
      <c r="G50" s="22">
        <f>12943551.25</f>
        <v>12943551.25</v>
      </c>
      <c r="H50" s="22">
        <f>1640.5</f>
        <v>1640.5</v>
      </c>
      <c r="I50" s="22">
        <f>0</f>
        <v>0</v>
      </c>
      <c r="J50" s="22">
        <f>20496.92</f>
        <v>20496.919999999998</v>
      </c>
      <c r="K50" s="22">
        <f>15777759.44</f>
        <v>15777759.439999999</v>
      </c>
      <c r="L50" s="22">
        <f>1919576889.61</f>
        <v>1919576889.6099999</v>
      </c>
      <c r="M50" s="22">
        <f>2927241191.07</f>
        <v>2927241191.0700002</v>
      </c>
      <c r="N50" s="22">
        <f>26169713.07</f>
        <v>26169713.07</v>
      </c>
      <c r="O50" s="22">
        <f>2408444.75</f>
        <v>2408444.75</v>
      </c>
      <c r="P50" s="22">
        <f>1872780.89</f>
        <v>1872780.89</v>
      </c>
      <c r="Q50" s="22">
        <f>535663.86</f>
        <v>535663.86</v>
      </c>
    </row>
    <row r="51" spans="1:17" ht="30" customHeight="1" x14ac:dyDescent="0.2">
      <c r="A51" s="18" t="s">
        <v>36</v>
      </c>
      <c r="B51" s="23">
        <f>89380149.37</f>
        <v>89380149.370000005</v>
      </c>
      <c r="C51" s="23">
        <f>89372841.75</f>
        <v>89372841.75</v>
      </c>
      <c r="D51" s="23">
        <f>461233.57</f>
        <v>461233.57</v>
      </c>
      <c r="E51" s="23">
        <f>0</f>
        <v>0</v>
      </c>
      <c r="F51" s="23">
        <f>0</f>
        <v>0</v>
      </c>
      <c r="G51" s="23">
        <f>460073.57</f>
        <v>460073.57</v>
      </c>
      <c r="H51" s="23">
        <f>1160</f>
        <v>1160</v>
      </c>
      <c r="I51" s="23">
        <f>0</f>
        <v>0</v>
      </c>
      <c r="J51" s="23">
        <f>998.91</f>
        <v>998.91</v>
      </c>
      <c r="K51" s="23">
        <f>0</f>
        <v>0</v>
      </c>
      <c r="L51" s="23">
        <f>81140400.34</f>
        <v>81140400.340000004</v>
      </c>
      <c r="M51" s="23">
        <f>7163867.27</f>
        <v>7163867.2699999996</v>
      </c>
      <c r="N51" s="23">
        <f>606341.66</f>
        <v>606341.66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4814842940.16</f>
        <v>4814842940.1599998</v>
      </c>
      <c r="C52" s="23">
        <f>4812441803.03</f>
        <v>4812441803.0299997</v>
      </c>
      <c r="D52" s="23">
        <f>12567361.1</f>
        <v>12567361.1</v>
      </c>
      <c r="E52" s="23">
        <f>25495.88</f>
        <v>25495.88</v>
      </c>
      <c r="F52" s="23">
        <f>57907.04</f>
        <v>57907.040000000001</v>
      </c>
      <c r="G52" s="23">
        <f>12483477.68</f>
        <v>12483477.68</v>
      </c>
      <c r="H52" s="23">
        <f>480.5</f>
        <v>480.5</v>
      </c>
      <c r="I52" s="23">
        <f>0</f>
        <v>0</v>
      </c>
      <c r="J52" s="23">
        <f>19498.01</f>
        <v>19498.009999999998</v>
      </c>
      <c r="K52" s="23">
        <f>15777759.44</f>
        <v>15777759.439999999</v>
      </c>
      <c r="L52" s="23">
        <f>1838436489.27</f>
        <v>1838436489.27</v>
      </c>
      <c r="M52" s="23">
        <f>2920077323.8</f>
        <v>2920077323.8000002</v>
      </c>
      <c r="N52" s="23">
        <f>25563371.41</f>
        <v>25563371.41</v>
      </c>
      <c r="O52" s="23">
        <f>2401137.13</f>
        <v>2401137.13</v>
      </c>
      <c r="P52" s="23">
        <f>1865473.27</f>
        <v>1865473.27</v>
      </c>
      <c r="Q52" s="23">
        <f>535663.86</f>
        <v>535663.86</v>
      </c>
    </row>
    <row r="53" spans="1:17" ht="30.75" customHeight="1" x14ac:dyDescent="0.2">
      <c r="A53" s="24" t="s">
        <v>44</v>
      </c>
      <c r="B53" s="22">
        <f>1347541134.89</f>
        <v>1347541134.8900001</v>
      </c>
      <c r="C53" s="22">
        <f>1343982130.83</f>
        <v>1343982130.8299999</v>
      </c>
      <c r="D53" s="22">
        <f>156985908.61</f>
        <v>156985908.61000001</v>
      </c>
      <c r="E53" s="22">
        <f>27941298.73</f>
        <v>27941298.73</v>
      </c>
      <c r="F53" s="22">
        <f>727391.83</f>
        <v>727391.83</v>
      </c>
      <c r="G53" s="22">
        <f>128097358.48</f>
        <v>128097358.48</v>
      </c>
      <c r="H53" s="22">
        <f>219859.57</f>
        <v>219859.57</v>
      </c>
      <c r="I53" s="22">
        <f>0</f>
        <v>0</v>
      </c>
      <c r="J53" s="22">
        <f>270550.68</f>
        <v>270550.68</v>
      </c>
      <c r="K53" s="22">
        <f>13240.59</f>
        <v>13240.59</v>
      </c>
      <c r="L53" s="22">
        <f>964576089.93</f>
        <v>964576089.92999995</v>
      </c>
      <c r="M53" s="22">
        <f>205697631.47</f>
        <v>205697631.47</v>
      </c>
      <c r="N53" s="22">
        <f>16438709.55</f>
        <v>16438709.550000001</v>
      </c>
      <c r="O53" s="22">
        <f>3559004.06</f>
        <v>3559004.06</v>
      </c>
      <c r="P53" s="22">
        <f>2497972.12</f>
        <v>2497972.12</v>
      </c>
      <c r="Q53" s="22">
        <f>1061031.94</f>
        <v>1061031.94</v>
      </c>
    </row>
    <row r="54" spans="1:17" ht="30" customHeight="1" x14ac:dyDescent="0.2">
      <c r="A54" s="18" t="s">
        <v>38</v>
      </c>
      <c r="B54" s="23">
        <f>56287484.56</f>
        <v>56287484.560000002</v>
      </c>
      <c r="C54" s="23">
        <f>56247747.62</f>
        <v>56247747.619999997</v>
      </c>
      <c r="D54" s="23">
        <f>7331177.78</f>
        <v>7331177.7800000003</v>
      </c>
      <c r="E54" s="23">
        <f>185735.77</f>
        <v>185735.77</v>
      </c>
      <c r="F54" s="23">
        <f>75197.77</f>
        <v>75197.77</v>
      </c>
      <c r="G54" s="23">
        <f>7070244.24</f>
        <v>7070244.2400000002</v>
      </c>
      <c r="H54" s="23">
        <f>0</f>
        <v>0</v>
      </c>
      <c r="I54" s="23">
        <f>0</f>
        <v>0</v>
      </c>
      <c r="J54" s="23">
        <f>0</f>
        <v>0</v>
      </c>
      <c r="K54" s="23">
        <f>11642.33</f>
        <v>11642.33</v>
      </c>
      <c r="L54" s="23">
        <f>43683328.16</f>
        <v>43683328.159999996</v>
      </c>
      <c r="M54" s="23">
        <f>4592907.45</f>
        <v>4592907.45</v>
      </c>
      <c r="N54" s="23">
        <f>628691.9</f>
        <v>628691.9</v>
      </c>
      <c r="O54" s="23">
        <f>39736.94</f>
        <v>39736.94</v>
      </c>
      <c r="P54" s="23">
        <f>0</f>
        <v>0</v>
      </c>
      <c r="Q54" s="23">
        <f>39736.94</f>
        <v>39736.94</v>
      </c>
    </row>
    <row r="55" spans="1:17" ht="33" customHeight="1" x14ac:dyDescent="0.2">
      <c r="A55" s="18" t="s">
        <v>80</v>
      </c>
      <c r="B55" s="23">
        <f>98.64</f>
        <v>98.64</v>
      </c>
      <c r="C55" s="23">
        <f>98.64</f>
        <v>98.64</v>
      </c>
      <c r="D55" s="23">
        <f>92.74</f>
        <v>92.74</v>
      </c>
      <c r="E55" s="23">
        <f>0</f>
        <v>0</v>
      </c>
      <c r="F55" s="23">
        <f>0</f>
        <v>0</v>
      </c>
      <c r="G55" s="23">
        <f>0</f>
        <v>0</v>
      </c>
      <c r="H55" s="23">
        <f>92.74</f>
        <v>92.74</v>
      </c>
      <c r="I55" s="23">
        <f>0</f>
        <v>0</v>
      </c>
      <c r="J55" s="23">
        <f>0</f>
        <v>0</v>
      </c>
      <c r="K55" s="23">
        <f>5.9</f>
        <v>5.9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1291253551.69</f>
        <v>1291253551.6900001</v>
      </c>
      <c r="C56" s="23">
        <f>1287734284.57</f>
        <v>1287734284.5699999</v>
      </c>
      <c r="D56" s="23">
        <f>149654638.09</f>
        <v>149654638.09</v>
      </c>
      <c r="E56" s="23">
        <f>27755562.96</f>
        <v>27755562.960000001</v>
      </c>
      <c r="F56" s="23">
        <f>652194.06</f>
        <v>652194.06000000006</v>
      </c>
      <c r="G56" s="23">
        <f>121027114.24</f>
        <v>121027114.23999999</v>
      </c>
      <c r="H56" s="23">
        <f>219766.83</f>
        <v>219766.83</v>
      </c>
      <c r="I56" s="23">
        <f>0</f>
        <v>0</v>
      </c>
      <c r="J56" s="23">
        <f>270550.68</f>
        <v>270550.68</v>
      </c>
      <c r="K56" s="23">
        <f>1592.36</f>
        <v>1592.36</v>
      </c>
      <c r="L56" s="23">
        <f>920892761.77</f>
        <v>920892761.76999998</v>
      </c>
      <c r="M56" s="23">
        <f>201104724.02</f>
        <v>201104724.02000001</v>
      </c>
      <c r="N56" s="23">
        <f>15810017.65</f>
        <v>15810017.65</v>
      </c>
      <c r="O56" s="23">
        <f>3519267.12</f>
        <v>3519267.12</v>
      </c>
      <c r="P56" s="23">
        <f>2497972.12</f>
        <v>2497972.12</v>
      </c>
      <c r="Q56" s="23">
        <f>1021295</f>
        <v>1021295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II Kwartały 2024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1189776020.75</f>
        <v>1189776020.75</v>
      </c>
      <c r="G76" s="25">
        <f>292672243.66</f>
        <v>292672243.66000003</v>
      </c>
      <c r="H76" s="25">
        <f>0</f>
        <v>0</v>
      </c>
      <c r="I76" s="25">
        <f>0</f>
        <v>0</v>
      </c>
      <c r="J76" s="25">
        <f>292672243.66</f>
        <v>292672243.66000003</v>
      </c>
      <c r="K76" s="25">
        <f>0</f>
        <v>0</v>
      </c>
      <c r="L76" s="25">
        <f>897103777.09</f>
        <v>897103777.09000003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24600000</f>
        <v>24600000</v>
      </c>
      <c r="G78" s="25">
        <f>0</f>
        <v>0</v>
      </c>
      <c r="H78" s="25">
        <f>0</f>
        <v>0</v>
      </c>
      <c r="I78" s="25">
        <f>0</f>
        <v>0</v>
      </c>
      <c r="J78" s="25">
        <f>0</f>
        <v>0</v>
      </c>
      <c r="K78" s="25">
        <f>0</f>
        <v>0</v>
      </c>
      <c r="L78" s="25">
        <f>24600000</f>
        <v>24600000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10558273.32</f>
        <v>10558273.32</v>
      </c>
      <c r="G79" s="25">
        <f>7625373.36</f>
        <v>7625373.3600000003</v>
      </c>
      <c r="H79" s="25">
        <f>0</f>
        <v>0</v>
      </c>
      <c r="I79" s="25">
        <f>0</f>
        <v>0</v>
      </c>
      <c r="J79" s="25">
        <f>7625373.36</f>
        <v>7625373.3600000003</v>
      </c>
      <c r="K79" s="25">
        <f>0</f>
        <v>0</v>
      </c>
      <c r="L79" s="25">
        <f>2932899.96</f>
        <v>2932899.96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272139.68</f>
        <v>272139.68</v>
      </c>
      <c r="G80" s="25">
        <f>180544.97</f>
        <v>180544.97</v>
      </c>
      <c r="H80" s="25">
        <f>0</f>
        <v>0</v>
      </c>
      <c r="I80" s="25">
        <f>0</f>
        <v>0</v>
      </c>
      <c r="J80" s="25">
        <f>180544.97</f>
        <v>180544.97</v>
      </c>
      <c r="K80" s="25">
        <f>0</f>
        <v>0</v>
      </c>
      <c r="L80" s="25">
        <f>91594.71</f>
        <v>91594.71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10882575.06</f>
        <v>10882575.060000001</v>
      </c>
      <c r="G81" s="25">
        <f>7949675.1</f>
        <v>7949675.0999999996</v>
      </c>
      <c r="H81" s="25">
        <f>0</f>
        <v>0</v>
      </c>
      <c r="I81" s="25">
        <f>0</f>
        <v>0</v>
      </c>
      <c r="J81" s="25">
        <f>7949675.1</f>
        <v>7949675.0999999996</v>
      </c>
      <c r="K81" s="25">
        <f>0</f>
        <v>0</v>
      </c>
      <c r="L81" s="25">
        <f>2932899.96</f>
        <v>2932899.96</v>
      </c>
    </row>
    <row r="82" spans="1:13" ht="33" customHeight="1" x14ac:dyDescent="0.2">
      <c r="B82" s="35" t="s">
        <v>61</v>
      </c>
      <c r="C82" s="36"/>
      <c r="D82" s="36"/>
      <c r="E82" s="37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II Kwartały 2024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16</f>
        <v>16</v>
      </c>
      <c r="H88" s="54"/>
      <c r="I88" s="38">
        <f>5118807387.99</f>
        <v>5118807387.9899998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0</f>
        <v>0</v>
      </c>
      <c r="H89" s="54"/>
      <c r="I89" s="38">
        <f>0</f>
        <v>0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2</f>
        <v>2</v>
      </c>
      <c r="C93" s="8" t="str">
        <f>IF(B93=1,"I Kwartał",IF(B93=2,"II Kwartały",IF(B93=3,"III Kwartały",IF(B93=4,"IV Kwartały","-"))))</f>
        <v>II Kwartały</v>
      </c>
    </row>
    <row r="94" spans="1:13" ht="13.5" customHeight="1" x14ac:dyDescent="0.2">
      <c r="A94" s="8" t="s">
        <v>9</v>
      </c>
      <c r="B94" s="8">
        <f>2024</f>
        <v>2024</v>
      </c>
      <c r="C94" s="9"/>
    </row>
    <row r="95" spans="1:13" ht="13.5" customHeight="1" x14ac:dyDescent="0.2">
      <c r="A95" s="8" t="s">
        <v>10</v>
      </c>
      <c r="B95" s="10" t="str">
        <f>"Aug 14 2024 12:00AM"</f>
        <v>Aug 14 2024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39:Q39"/>
    <mergeCell ref="B75:E75"/>
    <mergeCell ref="F75:L75"/>
    <mergeCell ref="L70:L73"/>
    <mergeCell ref="F34:F37"/>
    <mergeCell ref="G34:G37"/>
    <mergeCell ref="H34:H37"/>
    <mergeCell ref="K34:K37"/>
    <mergeCell ref="I34:I37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G7:G10"/>
    <mergeCell ref="F7:F10"/>
    <mergeCell ref="I7:I10"/>
    <mergeCell ref="J7:J10"/>
    <mergeCell ref="K70:K73"/>
    <mergeCell ref="Q7:Q10"/>
    <mergeCell ref="C33:N33"/>
    <mergeCell ref="L7:L10"/>
    <mergeCell ref="M7:M10"/>
    <mergeCell ref="N7:N10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B80:E80"/>
    <mergeCell ref="B77:E77"/>
    <mergeCell ref="M34:M37"/>
    <mergeCell ref="B76:E76"/>
    <mergeCell ref="F69:F73"/>
    <mergeCell ref="G70:G73"/>
    <mergeCell ref="G69:L69"/>
    <mergeCell ref="H70:H73"/>
    <mergeCell ref="I70:I73"/>
    <mergeCell ref="J70:J73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2024-08-26T09:38:12Z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2024-08-26T11:38:02.9979241+02:00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GRN-bdf41fa8-66a1-4872-ac4c-28f746057382</vt:lpwstr>
  </property>
  <property fmtid="{D5CDD505-2E9C-101B-9397-08002B2CF9AE}" pid="7" name="MFHash">
    <vt:lpwstr>H2wuCtfAGuPdOgLHO/w70anUduyAVH9nhlthL/9iYs4=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