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I kwartał\2024.08.14 Ostateczne wygenerował Piotr\II KWARTAŁ\Zbiorówki_2024_k2_20230814\MF\"/>
    </mc:Choice>
  </mc:AlternateContent>
  <xr:revisionPtr revIDLastSave="0" documentId="8_{F575530C-A3D2-40AA-8C95-315E581120DC}" xr6:coauthVersionLast="47" xr6:coauthVersionMax="47" xr10:uidLastSave="{00000000-0000-0000-0000-000000000000}"/>
  <bookViews>
    <workbookView xWindow="-120" yWindow="-120" windowWidth="29040" windowHeight="15720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3" i="7" l="1"/>
  <c r="B92" i="7"/>
  <c r="B91" i="7"/>
  <c r="B90" i="7"/>
  <c r="I87" i="7"/>
  <c r="G87" i="7"/>
  <c r="I86" i="7"/>
  <c r="G86" i="7"/>
  <c r="I85" i="7"/>
  <c r="G85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L75" i="7"/>
  <c r="K75" i="7"/>
  <c r="J75" i="7"/>
  <c r="I75" i="7"/>
  <c r="H75" i="7"/>
  <c r="G75" i="7"/>
  <c r="F75" i="7"/>
  <c r="L74" i="7"/>
  <c r="K74" i="7"/>
  <c r="J74" i="7"/>
  <c r="I74" i="7"/>
  <c r="H74" i="7"/>
  <c r="G74" i="7"/>
  <c r="F74" i="7"/>
  <c r="L73" i="7"/>
  <c r="K73" i="7"/>
  <c r="J73" i="7"/>
  <c r="I73" i="7"/>
  <c r="H73" i="7"/>
  <c r="G73" i="7"/>
  <c r="F73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0" i="7"/>
  <c r="A82" i="7"/>
  <c r="A27" i="7"/>
  <c r="A63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<sst xmlns="http://schemas.openxmlformats.org/spreadsheetml/2006/main" count="97" uniqueCount="81">
  <si>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</si>
  <si>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</si>
  <si>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</si>
  <si>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</si>
  <si>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</si>
  <si>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</si>
  <si>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</si>
  <si>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</si>
  <si>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</si>
  <si>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</si>
  <si>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</si>
  <si>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</si>
  <si>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</si>
  <si>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</si>
  <si>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</si>
  <si>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</si>
  <si>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</si>
  <si>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</si>
  <si>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</si>
  <si>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</si>
  <si>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</si>
  <si>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</si>
  <si>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</si>
  <si>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</si>
  <si>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</si>
  <si>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</si>
  <si>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</si>
  <si>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</si>
  <si>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</si>
  <si>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</si>
  <si>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</si>
  <si>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</si>
  <si>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</si>
  <si>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</si>
  <si>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</si>
  <si>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</si>
  <si>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</si>
  <si>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</si>
  <si>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</si>
  <si>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</si>
  <si>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</si>
  <si>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</si>
  <si>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</si>
  <si>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</si>
  <si>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</si>
  <si>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</si>
  <si>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</si>
  <si>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</si>
  <si>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</si>
  <si>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</si>
  <si>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</si>
  <si>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</si>
  <si>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</si>
  <si>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</si>
  <si>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</si>
  <si>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</si>
  <si>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</si>
  <si>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</si>
  <si>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</si>
  <si>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</si>
  <si>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</si>
  <si>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</si>
  <si>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</si>
  <si>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</si>
  <si>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</si>
  <si>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</si>
  <si>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</si>
  <si>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</si>
  <si>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</si>
  <si>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</si>
  <si>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</si>
  <si>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</si>
  <si>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</si>
  <si>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</si>
  <si>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</si>
  <si>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</si>
  <si>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</si>
  <si>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E1 papiery wartościowe 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</si>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</sst>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71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23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3"/>
  <sheetViews>
    <sheetView tabSelected="1" zoomScaleNormal="100" zoomScaleSheetLayoutView="75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2.570312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5" width="9.140625" style="2"/>
    <col min="16" max="16" width="10.28515625" style="2" customWidth="1"/>
    <col min="17" max="16384" width="9.140625" style="2"/>
  </cols>
  <sheetData>
    <row r="1" spans="1:17" ht="39.75" customHeight="1" x14ac:dyDescent="0.2">
      <c r="A1" s="47" t="str">
        <f>CONCATENATE("Informacja z wykonania budżetów powiatów za   ",$C$90," ",$B$91," roku    ",$B$93,"")</f>
        <v xml:space="preserve">Informacja z wykonania budżetów powiatów za   II Kwartały 2024 roku    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8" t="s">
        <v>60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5" spans="1:17" ht="13.5" customHeight="1" x14ac:dyDescent="0.2">
      <c r="B5" s="12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1"/>
      <c r="O5" s="11"/>
      <c r="P5" s="11"/>
      <c r="Q5" s="11"/>
    </row>
    <row r="6" spans="1:17" ht="13.5" customHeight="1" x14ac:dyDescent="0.2">
      <c r="A6" s="38" t="s">
        <v>0</v>
      </c>
      <c r="B6" s="43" t="s">
        <v>61</v>
      </c>
      <c r="C6" s="52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52" t="s">
        <v>64</v>
      </c>
      <c r="P6" s="30"/>
      <c r="Q6" s="31"/>
    </row>
    <row r="7" spans="1:17" ht="13.5" customHeight="1" x14ac:dyDescent="0.2">
      <c r="A7" s="39"/>
      <c r="B7" s="41"/>
      <c r="C7" s="42" t="s">
        <v>62</v>
      </c>
      <c r="D7" s="42" t="s">
        <v>73</v>
      </c>
      <c r="E7" s="42" t="s">
        <v>66</v>
      </c>
      <c r="F7" s="42" t="s">
        <v>67</v>
      </c>
      <c r="G7" s="42" t="s">
        <v>27</v>
      </c>
      <c r="H7" s="42" t="s">
        <v>28</v>
      </c>
      <c r="I7" s="49" t="s">
        <v>63</v>
      </c>
      <c r="J7" s="42" t="s">
        <v>16</v>
      </c>
      <c r="K7" s="42" t="s">
        <v>17</v>
      </c>
      <c r="L7" s="42" t="s">
        <v>18</v>
      </c>
      <c r="M7" s="42" t="s">
        <v>19</v>
      </c>
      <c r="N7" s="41" t="s">
        <v>20</v>
      </c>
      <c r="O7" s="37" t="s">
        <v>21</v>
      </c>
      <c r="P7" s="37" t="s">
        <v>22</v>
      </c>
      <c r="Q7" s="37" t="s">
        <v>23</v>
      </c>
    </row>
    <row r="8" spans="1:17" ht="13.5" customHeight="1" x14ac:dyDescent="0.2">
      <c r="A8" s="39"/>
      <c r="B8" s="41"/>
      <c r="C8" s="37"/>
      <c r="D8" s="37"/>
      <c r="E8" s="37"/>
      <c r="F8" s="37"/>
      <c r="G8" s="37"/>
      <c r="H8" s="37"/>
      <c r="I8" s="49"/>
      <c r="J8" s="37"/>
      <c r="K8" s="37"/>
      <c r="L8" s="37"/>
      <c r="M8" s="37"/>
      <c r="N8" s="41"/>
      <c r="O8" s="37"/>
      <c r="P8" s="37"/>
      <c r="Q8" s="37"/>
    </row>
    <row r="9" spans="1:17" ht="11.25" customHeight="1" x14ac:dyDescent="0.2">
      <c r="A9" s="39"/>
      <c r="B9" s="41"/>
      <c r="C9" s="37"/>
      <c r="D9" s="37"/>
      <c r="E9" s="37"/>
      <c r="F9" s="37"/>
      <c r="G9" s="37"/>
      <c r="H9" s="37"/>
      <c r="I9" s="49"/>
      <c r="J9" s="37"/>
      <c r="K9" s="37"/>
      <c r="L9" s="37"/>
      <c r="M9" s="37"/>
      <c r="N9" s="41"/>
      <c r="O9" s="37"/>
      <c r="P9" s="37"/>
      <c r="Q9" s="37"/>
    </row>
    <row r="10" spans="1:17" ht="33.75" customHeight="1" x14ac:dyDescent="0.2">
      <c r="A10" s="40"/>
      <c r="B10" s="42"/>
      <c r="C10" s="37"/>
      <c r="D10" s="37"/>
      <c r="E10" s="37"/>
      <c r="F10" s="37"/>
      <c r="G10" s="37"/>
      <c r="H10" s="37"/>
      <c r="I10" s="50"/>
      <c r="J10" s="37"/>
      <c r="K10" s="37"/>
      <c r="L10" s="37"/>
      <c r="M10" s="37"/>
      <c r="N10" s="42"/>
      <c r="O10" s="37"/>
      <c r="P10" s="37"/>
      <c r="Q10" s="37"/>
    </row>
    <row r="11" spans="1:17" ht="15.7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2" customHeight="1" x14ac:dyDescent="0.2">
      <c r="A12" s="13"/>
      <c r="B12" s="27" t="s">
        <v>76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9"/>
    </row>
    <row r="13" spans="1:17" ht="39.75" customHeight="1" x14ac:dyDescent="0.2">
      <c r="A13" s="20" t="s">
        <v>45</v>
      </c>
      <c r="B13" s="21">
        <f>6700126754.97</f>
        <v>6700126754.9700003</v>
      </c>
      <c r="C13" s="21">
        <f>6700126754.97</f>
        <v>6700126754.9700003</v>
      </c>
      <c r="D13" s="21">
        <f>240424534.31</f>
        <v>240424534.31</v>
      </c>
      <c r="E13" s="21">
        <f>201384432.17</f>
        <v>201384432.16999999</v>
      </c>
      <c r="F13" s="21">
        <f>7658533.11</f>
        <v>7658533.1100000003</v>
      </c>
      <c r="G13" s="21">
        <f>31381569.03</f>
        <v>31381569.030000001</v>
      </c>
      <c r="H13" s="21">
        <f>0</f>
        <v>0</v>
      </c>
      <c r="I13" s="21">
        <f>0</f>
        <v>0</v>
      </c>
      <c r="J13" s="21">
        <f>6138877703.41</f>
        <v>6138877703.4099998</v>
      </c>
      <c r="K13" s="21">
        <f>315170902.84</f>
        <v>315170902.83999997</v>
      </c>
      <c r="L13" s="21">
        <f>3127416.91</f>
        <v>3127416.91</v>
      </c>
      <c r="M13" s="21">
        <f>206544.63</f>
        <v>206544.63</v>
      </c>
      <c r="N13" s="21">
        <f>2319652.87</f>
        <v>2319652.87</v>
      </c>
      <c r="O13" s="21">
        <f>0</f>
        <v>0</v>
      </c>
      <c r="P13" s="21">
        <f>0</f>
        <v>0</v>
      </c>
      <c r="Q13" s="21">
        <f>0</f>
        <v>0</v>
      </c>
    </row>
    <row r="14" spans="1:17" ht="24.75" customHeight="1" x14ac:dyDescent="0.2">
      <c r="A14" s="19" t="s">
        <v>77</v>
      </c>
      <c r="B14" s="21">
        <f>14000000</f>
        <v>14000000</v>
      </c>
      <c r="C14" s="21">
        <f>14000000</f>
        <v>14000000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14000000</f>
        <v>14000000</v>
      </c>
      <c r="K14" s="21">
        <f>0</f>
        <v>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1" customHeight="1" x14ac:dyDescent="0.2">
      <c r="A15" s="17" t="s">
        <v>46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0.25" customHeight="1" x14ac:dyDescent="0.2">
      <c r="A16" s="17" t="s">
        <v>47</v>
      </c>
      <c r="B16" s="22">
        <f>14000000</f>
        <v>14000000</v>
      </c>
      <c r="C16" s="22">
        <f>14000000</f>
        <v>14000000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14000000</f>
        <v>14000000</v>
      </c>
      <c r="K16" s="22">
        <f>0</f>
        <v>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24" customHeight="1" x14ac:dyDescent="0.2">
      <c r="A17" s="20" t="s">
        <v>78</v>
      </c>
      <c r="B17" s="21">
        <f>6679704555.03</f>
        <v>6679704555.0299997</v>
      </c>
      <c r="C17" s="21">
        <f>6679704555.03</f>
        <v>6679704555.0299997</v>
      </c>
      <c r="D17" s="21">
        <f>234852066.67</f>
        <v>234852066.66999999</v>
      </c>
      <c r="E17" s="21">
        <f>196953302.98</f>
        <v>196953302.97999999</v>
      </c>
      <c r="F17" s="21">
        <f>7658533.11</f>
        <v>7658533.1100000003</v>
      </c>
      <c r="G17" s="21">
        <f>30240230.58</f>
        <v>30240230.579999998</v>
      </c>
      <c r="H17" s="21">
        <f>0</f>
        <v>0</v>
      </c>
      <c r="I17" s="21">
        <f>0</f>
        <v>0</v>
      </c>
      <c r="J17" s="21">
        <f>6124877703.41</f>
        <v>6124877703.4099998</v>
      </c>
      <c r="K17" s="21">
        <f>315170902.84</f>
        <v>315170902.83999997</v>
      </c>
      <c r="L17" s="21">
        <f>2821703.31</f>
        <v>2821703.31</v>
      </c>
      <c r="M17" s="21">
        <f>0</f>
        <v>0</v>
      </c>
      <c r="N17" s="21">
        <f>1982178.8</f>
        <v>1982178.8</v>
      </c>
      <c r="O17" s="21">
        <f>0</f>
        <v>0</v>
      </c>
      <c r="P17" s="21">
        <f>0</f>
        <v>0</v>
      </c>
      <c r="Q17" s="21">
        <f>0</f>
        <v>0</v>
      </c>
    </row>
    <row r="18" spans="1:17" ht="23.25" customHeight="1" x14ac:dyDescent="0.2">
      <c r="A18" s="17" t="s">
        <v>48</v>
      </c>
      <c r="B18" s="22">
        <f>29821332.76</f>
        <v>29821332.760000002</v>
      </c>
      <c r="C18" s="22">
        <f>29821332.76</f>
        <v>29821332.760000002</v>
      </c>
      <c r="D18" s="22">
        <f>110592</f>
        <v>110592</v>
      </c>
      <c r="E18" s="22">
        <f>0</f>
        <v>0</v>
      </c>
      <c r="F18" s="22">
        <f>110592</f>
        <v>110592</v>
      </c>
      <c r="G18" s="22">
        <f>0</f>
        <v>0</v>
      </c>
      <c r="H18" s="22">
        <f>0</f>
        <v>0</v>
      </c>
      <c r="I18" s="22">
        <f>0</f>
        <v>0</v>
      </c>
      <c r="J18" s="22">
        <f>29636886.28</f>
        <v>29636886.280000001</v>
      </c>
      <c r="K18" s="22">
        <f>73854.48</f>
        <v>73854.48</v>
      </c>
      <c r="L18" s="22">
        <f>0</f>
        <v>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1.75" customHeight="1" x14ac:dyDescent="0.2">
      <c r="A19" s="17" t="s">
        <v>49</v>
      </c>
      <c r="B19" s="22">
        <f>6649883222.27</f>
        <v>6649883222.2700005</v>
      </c>
      <c r="C19" s="22">
        <f>6649883222.27</f>
        <v>6649883222.2700005</v>
      </c>
      <c r="D19" s="22">
        <f>234741474.67</f>
        <v>234741474.66999999</v>
      </c>
      <c r="E19" s="22">
        <f>196953302.98</f>
        <v>196953302.97999999</v>
      </c>
      <c r="F19" s="22">
        <f>7547941.11</f>
        <v>7547941.1100000003</v>
      </c>
      <c r="G19" s="22">
        <f>30240230.58</f>
        <v>30240230.579999998</v>
      </c>
      <c r="H19" s="22">
        <f>0</f>
        <v>0</v>
      </c>
      <c r="I19" s="22">
        <f>0</f>
        <v>0</v>
      </c>
      <c r="J19" s="22">
        <f>6095240817.13</f>
        <v>6095240817.1300001</v>
      </c>
      <c r="K19" s="22">
        <f>315097048.36</f>
        <v>315097048.36000001</v>
      </c>
      <c r="L19" s="22">
        <f>2821703.31</f>
        <v>2821703.31</v>
      </c>
      <c r="M19" s="22">
        <f>0</f>
        <v>0</v>
      </c>
      <c r="N19" s="22">
        <f>1982178.8</f>
        <v>1982178.8</v>
      </c>
      <c r="O19" s="22">
        <f>0</f>
        <v>0</v>
      </c>
      <c r="P19" s="22">
        <f>0</f>
        <v>0</v>
      </c>
      <c r="Q19" s="22">
        <f>0</f>
        <v>0</v>
      </c>
    </row>
    <row r="20" spans="1:17" ht="21.75" customHeight="1" x14ac:dyDescent="0.2">
      <c r="A20" s="17" t="s">
        <v>50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4.75" customHeight="1" x14ac:dyDescent="0.2">
      <c r="A21" s="20" t="s">
        <v>79</v>
      </c>
      <c r="B21" s="21">
        <f>6422199.94</f>
        <v>6422199.9400000004</v>
      </c>
      <c r="C21" s="21">
        <f>6422199.94</f>
        <v>6422199.9400000004</v>
      </c>
      <c r="D21" s="21">
        <f>5572467.64</f>
        <v>5572467.6399999997</v>
      </c>
      <c r="E21" s="21">
        <f>4431129.19</f>
        <v>4431129.1900000004</v>
      </c>
      <c r="F21" s="21">
        <f>0</f>
        <v>0</v>
      </c>
      <c r="G21" s="21">
        <f>1141338.45</f>
        <v>1141338.45</v>
      </c>
      <c r="H21" s="21">
        <f>0</f>
        <v>0</v>
      </c>
      <c r="I21" s="21">
        <f>0</f>
        <v>0</v>
      </c>
      <c r="J21" s="21">
        <f>0</f>
        <v>0</v>
      </c>
      <c r="K21" s="21">
        <f>0</f>
        <v>0</v>
      </c>
      <c r="L21" s="21">
        <f>305713.6</f>
        <v>305713.59999999998</v>
      </c>
      <c r="M21" s="21">
        <f>206544.63</f>
        <v>206544.63</v>
      </c>
      <c r="N21" s="21">
        <f>337474.07</f>
        <v>337474.07</v>
      </c>
      <c r="O21" s="21">
        <f>0</f>
        <v>0</v>
      </c>
      <c r="P21" s="21">
        <f>0</f>
        <v>0</v>
      </c>
      <c r="Q21" s="21">
        <f>0</f>
        <v>0</v>
      </c>
    </row>
    <row r="22" spans="1:17" ht="22.5" x14ac:dyDescent="0.2">
      <c r="A22" s="17" t="s">
        <v>51</v>
      </c>
      <c r="B22" s="22">
        <f>612089.99</f>
        <v>612089.99</v>
      </c>
      <c r="C22" s="22">
        <f>612089.99</f>
        <v>612089.99</v>
      </c>
      <c r="D22" s="22">
        <f>98</f>
        <v>98</v>
      </c>
      <c r="E22" s="22">
        <f>0</f>
        <v>0</v>
      </c>
      <c r="F22" s="22">
        <f>0</f>
        <v>0</v>
      </c>
      <c r="G22" s="22">
        <f>98</f>
        <v>98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220559</f>
        <v>220559</v>
      </c>
      <c r="M22" s="22">
        <f>69110.42</f>
        <v>69110.42</v>
      </c>
      <c r="N22" s="22">
        <f>322322.57</f>
        <v>322322.57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5810109.95</f>
        <v>5810109.9500000002</v>
      </c>
      <c r="C23" s="22">
        <f>5810109.95</f>
        <v>5810109.9500000002</v>
      </c>
      <c r="D23" s="22">
        <f>5572369.64</f>
        <v>5572369.6399999997</v>
      </c>
      <c r="E23" s="22">
        <f>4431129.19</f>
        <v>4431129.1900000004</v>
      </c>
      <c r="F23" s="22">
        <f>0</f>
        <v>0</v>
      </c>
      <c r="G23" s="22">
        <f>1141240.45</f>
        <v>1141240.45</v>
      </c>
      <c r="H23" s="22">
        <f>0</f>
        <v>0</v>
      </c>
      <c r="I23" s="22">
        <f>0</f>
        <v>0</v>
      </c>
      <c r="J23" s="22">
        <f>0</f>
        <v>0</v>
      </c>
      <c r="K23" s="22">
        <f>0</f>
        <v>0</v>
      </c>
      <c r="L23" s="22">
        <f>85154.6</f>
        <v>85154.6</v>
      </c>
      <c r="M23" s="22">
        <f>137434.21</f>
        <v>137434.21</v>
      </c>
      <c r="N23" s="22">
        <f>15151.5</f>
        <v>15151.5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45.75" customHeight="1" x14ac:dyDescent="0.2">
      <c r="A27" s="47" t="str">
        <f>CONCATENATE("Informacja z wykonania budżetów powiatów za   ",$C$90," ",$B$91," roku    ",$B$93,"")</f>
        <v xml:space="preserve">Informacja z wykonania budżetów powiatów za   II Kwartały 2024 roku    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9" spans="1:17" ht="13.5" customHeight="1" x14ac:dyDescent="0.2">
      <c r="A29" s="48" t="s">
        <v>11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1" spans="1:17" ht="13.5" customHeight="1" x14ac:dyDescent="0.2">
      <c r="A31" s="38" t="s">
        <v>0</v>
      </c>
      <c r="B31" s="43" t="s">
        <v>12</v>
      </c>
      <c r="C31" s="44" t="s">
        <v>14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6"/>
      <c r="O31" s="44" t="s">
        <v>24</v>
      </c>
      <c r="P31" s="45"/>
      <c r="Q31" s="46"/>
    </row>
    <row r="32" spans="1:17" ht="13.5" customHeight="1" x14ac:dyDescent="0.2">
      <c r="A32" s="39"/>
      <c r="B32" s="41"/>
      <c r="C32" s="41" t="s">
        <v>13</v>
      </c>
      <c r="D32" s="37" t="s">
        <v>15</v>
      </c>
      <c r="E32" s="37" t="s">
        <v>25</v>
      </c>
      <c r="F32" s="37" t="s">
        <v>26</v>
      </c>
      <c r="G32" s="37" t="s">
        <v>70</v>
      </c>
      <c r="H32" s="37" t="s">
        <v>28</v>
      </c>
      <c r="I32" s="37" t="s">
        <v>1</v>
      </c>
      <c r="J32" s="37" t="s">
        <v>16</v>
      </c>
      <c r="K32" s="37" t="s">
        <v>17</v>
      </c>
      <c r="L32" s="37" t="s">
        <v>18</v>
      </c>
      <c r="M32" s="37" t="s">
        <v>19</v>
      </c>
      <c r="N32" s="85" t="s">
        <v>20</v>
      </c>
      <c r="O32" s="37" t="s">
        <v>21</v>
      </c>
      <c r="P32" s="37" t="s">
        <v>22</v>
      </c>
      <c r="Q32" s="43" t="s">
        <v>23</v>
      </c>
    </row>
    <row r="33" spans="1:17" ht="13.5" customHeight="1" x14ac:dyDescent="0.2">
      <c r="A33" s="39"/>
      <c r="B33" s="41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85"/>
      <c r="O33" s="37"/>
      <c r="P33" s="37"/>
      <c r="Q33" s="41"/>
    </row>
    <row r="34" spans="1:17" ht="11.25" customHeight="1" x14ac:dyDescent="0.2">
      <c r="A34" s="39"/>
      <c r="B34" s="41"/>
      <c r="C34" s="41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85"/>
      <c r="O34" s="37"/>
      <c r="P34" s="37"/>
      <c r="Q34" s="41"/>
    </row>
    <row r="35" spans="1:17" ht="41.25" customHeight="1" x14ac:dyDescent="0.2">
      <c r="A35" s="40"/>
      <c r="B35" s="42"/>
      <c r="C35" s="4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85"/>
      <c r="O35" s="37"/>
      <c r="P35" s="37"/>
      <c r="Q35" s="42"/>
    </row>
    <row r="36" spans="1:17" ht="15.75" customHeight="1" x14ac:dyDescent="0.2">
      <c r="A36" s="13">
        <v>1</v>
      </c>
      <c r="B36" s="13">
        <v>2</v>
      </c>
      <c r="C36" s="13">
        <v>3</v>
      </c>
      <c r="D36" s="13">
        <v>4</v>
      </c>
      <c r="E36" s="13">
        <v>5</v>
      </c>
      <c r="F36" s="13">
        <v>6</v>
      </c>
      <c r="G36" s="13">
        <v>7</v>
      </c>
      <c r="H36" s="13">
        <v>8</v>
      </c>
      <c r="I36" s="13">
        <v>9</v>
      </c>
      <c r="J36" s="13">
        <v>10</v>
      </c>
      <c r="K36" s="13">
        <v>11</v>
      </c>
      <c r="L36" s="13">
        <v>12</v>
      </c>
      <c r="M36" s="13">
        <v>13</v>
      </c>
      <c r="N36" s="13">
        <v>14</v>
      </c>
      <c r="O36" s="13">
        <v>15</v>
      </c>
      <c r="P36" s="13">
        <v>16</v>
      </c>
      <c r="Q36" s="13">
        <v>17</v>
      </c>
    </row>
    <row r="37" spans="1:17" ht="12" customHeight="1" x14ac:dyDescent="0.2">
      <c r="A37" s="13"/>
      <c r="B37" s="27" t="s">
        <v>76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1"/>
    </row>
    <row r="38" spans="1:17" ht="30" customHeight="1" x14ac:dyDescent="0.2">
      <c r="A38" s="25" t="s">
        <v>40</v>
      </c>
      <c r="B38" s="23">
        <f>750000</f>
        <v>750000</v>
      </c>
      <c r="C38" s="23">
        <f>750000</f>
        <v>750000</v>
      </c>
      <c r="D38" s="23">
        <f>50000</f>
        <v>50000</v>
      </c>
      <c r="E38" s="23">
        <f>50000</f>
        <v>50000</v>
      </c>
      <c r="F38" s="23">
        <f>0</f>
        <v>0</v>
      </c>
      <c r="G38" s="23">
        <f>0</f>
        <v>0</v>
      </c>
      <c r="H38" s="23">
        <f>0</f>
        <v>0</v>
      </c>
      <c r="I38" s="23">
        <f>0</f>
        <v>0</v>
      </c>
      <c r="J38" s="23">
        <f>0</f>
        <v>0</v>
      </c>
      <c r="K38" s="23">
        <f>0</f>
        <v>0</v>
      </c>
      <c r="L38" s="23">
        <f>700000</f>
        <v>700000</v>
      </c>
      <c r="M38" s="23">
        <f>0</f>
        <v>0</v>
      </c>
      <c r="N38" s="23">
        <f>0</f>
        <v>0</v>
      </c>
      <c r="O38" s="23">
        <f>0</f>
        <v>0</v>
      </c>
      <c r="P38" s="23">
        <f>0</f>
        <v>0</v>
      </c>
      <c r="Q38" s="23">
        <f>0</f>
        <v>0</v>
      </c>
    </row>
    <row r="39" spans="1:17" ht="25.5" customHeight="1" x14ac:dyDescent="0.2">
      <c r="A39" s="18" t="s">
        <v>29</v>
      </c>
      <c r="B39" s="24">
        <f>700000</f>
        <v>700000</v>
      </c>
      <c r="C39" s="24">
        <f>700000</f>
        <v>700000</v>
      </c>
      <c r="D39" s="24">
        <f>0</f>
        <v>0</v>
      </c>
      <c r="E39" s="24">
        <f>0</f>
        <v>0</v>
      </c>
      <c r="F39" s="24">
        <f>0</f>
        <v>0</v>
      </c>
      <c r="G39" s="24">
        <f>0</f>
        <v>0</v>
      </c>
      <c r="H39" s="24">
        <f>0</f>
        <v>0</v>
      </c>
      <c r="I39" s="24">
        <f>0</f>
        <v>0</v>
      </c>
      <c r="J39" s="24">
        <f>0</f>
        <v>0</v>
      </c>
      <c r="K39" s="24">
        <f>0</f>
        <v>0</v>
      </c>
      <c r="L39" s="24">
        <f>700000</f>
        <v>700000</v>
      </c>
      <c r="M39" s="24">
        <f>0</f>
        <v>0</v>
      </c>
      <c r="N39" s="24">
        <f>0</f>
        <v>0</v>
      </c>
      <c r="O39" s="24">
        <f>0</f>
        <v>0</v>
      </c>
      <c r="P39" s="24">
        <f>0</f>
        <v>0</v>
      </c>
      <c r="Q39" s="24">
        <f>0</f>
        <v>0</v>
      </c>
    </row>
    <row r="40" spans="1:17" ht="25.5" customHeight="1" x14ac:dyDescent="0.2">
      <c r="A40" s="18" t="s">
        <v>30</v>
      </c>
      <c r="B40" s="24">
        <f>50000</f>
        <v>50000</v>
      </c>
      <c r="C40" s="24">
        <f>50000</f>
        <v>50000</v>
      </c>
      <c r="D40" s="24">
        <f>50000</f>
        <v>50000</v>
      </c>
      <c r="E40" s="24">
        <f>50000</f>
        <v>50000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30" customHeight="1" x14ac:dyDescent="0.2">
      <c r="A41" s="25" t="s">
        <v>41</v>
      </c>
      <c r="B41" s="23">
        <f>211864999.1</f>
        <v>211864999.09999999</v>
      </c>
      <c r="C41" s="23">
        <f>211864999.1</f>
        <v>211864999.09999999</v>
      </c>
      <c r="D41" s="23">
        <f>149704478.59</f>
        <v>149704478.59</v>
      </c>
      <c r="E41" s="23">
        <f>33648.14</f>
        <v>33648.14</v>
      </c>
      <c r="F41" s="23">
        <f>2502470.4</f>
        <v>2502470.4</v>
      </c>
      <c r="G41" s="23">
        <f>147168360.05</f>
        <v>147168360.05000001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49395398.81</f>
        <v>49395398.810000002</v>
      </c>
      <c r="M41" s="23">
        <f>11881576.93</f>
        <v>11881576.93</v>
      </c>
      <c r="N41" s="23">
        <f>883544.77</f>
        <v>883544.77</v>
      </c>
      <c r="O41" s="23">
        <f>0</f>
        <v>0</v>
      </c>
      <c r="P41" s="23">
        <f>0</f>
        <v>0</v>
      </c>
      <c r="Q41" s="23">
        <f>0</f>
        <v>0</v>
      </c>
    </row>
    <row r="42" spans="1:17" ht="25.5" customHeight="1" x14ac:dyDescent="0.2">
      <c r="A42" s="18" t="s">
        <v>31</v>
      </c>
      <c r="B42" s="24">
        <f>49399579.34</f>
        <v>49399579.340000004</v>
      </c>
      <c r="C42" s="24">
        <f>49399579.34</f>
        <v>49399579.340000004</v>
      </c>
      <c r="D42" s="24">
        <f>35320258.98</f>
        <v>35320258.979999997</v>
      </c>
      <c r="E42" s="24">
        <f>0</f>
        <v>0</v>
      </c>
      <c r="F42" s="24">
        <f>2500000</f>
        <v>2500000</v>
      </c>
      <c r="G42" s="24">
        <f>32820258.98</f>
        <v>32820258.98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12709151.01</f>
        <v>12709151.01</v>
      </c>
      <c r="M42" s="24">
        <f>1370169.35</f>
        <v>1370169.35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5.5" customHeight="1" x14ac:dyDescent="0.2">
      <c r="A43" s="18" t="s">
        <v>32</v>
      </c>
      <c r="B43" s="24">
        <f>162465419.76</f>
        <v>162465419.75999999</v>
      </c>
      <c r="C43" s="24">
        <f>162465419.76</f>
        <v>162465419.75999999</v>
      </c>
      <c r="D43" s="24">
        <f>114384219.61</f>
        <v>114384219.61</v>
      </c>
      <c r="E43" s="24">
        <f>33648.14</f>
        <v>33648.14</v>
      </c>
      <c r="F43" s="24">
        <f>2470.4</f>
        <v>2470.4</v>
      </c>
      <c r="G43" s="24">
        <f>114348101.07</f>
        <v>114348101.06999999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36686247.8</f>
        <v>36686247.799999997</v>
      </c>
      <c r="M43" s="24">
        <f>10511407.58</f>
        <v>10511407.58</v>
      </c>
      <c r="N43" s="24">
        <f>883544.77</f>
        <v>883544.77</v>
      </c>
      <c r="O43" s="24">
        <f>0</f>
        <v>0</v>
      </c>
      <c r="P43" s="24">
        <f>0</f>
        <v>0</v>
      </c>
      <c r="Q43" s="24">
        <f>0</f>
        <v>0</v>
      </c>
    </row>
    <row r="44" spans="1:17" ht="30" customHeight="1" x14ac:dyDescent="0.2">
      <c r="A44" s="25" t="s">
        <v>42</v>
      </c>
      <c r="B44" s="23">
        <f>8494916656.51</f>
        <v>8494916656.5100002</v>
      </c>
      <c r="C44" s="23">
        <f>8494916656.51</f>
        <v>8494916656.5100002</v>
      </c>
      <c r="D44" s="23">
        <f>2655048.19</f>
        <v>2655048.19</v>
      </c>
      <c r="E44" s="23">
        <f>23085.26</f>
        <v>23085.26</v>
      </c>
      <c r="F44" s="23">
        <f>2903</f>
        <v>2903</v>
      </c>
      <c r="G44" s="23">
        <f>2629059.93</f>
        <v>2629059.9300000002</v>
      </c>
      <c r="H44" s="23">
        <f>0</f>
        <v>0</v>
      </c>
      <c r="I44" s="23">
        <f>6205049.84</f>
        <v>6205049.8399999999</v>
      </c>
      <c r="J44" s="23">
        <f>8485661081.16</f>
        <v>8485661081.1599998</v>
      </c>
      <c r="K44" s="23">
        <f>245831.48</f>
        <v>245831.48</v>
      </c>
      <c r="L44" s="23">
        <f>53362.72</f>
        <v>53362.720000000001</v>
      </c>
      <c r="M44" s="23">
        <f>2000</f>
        <v>2000</v>
      </c>
      <c r="N44" s="23">
        <f>94283.12</f>
        <v>94283.12</v>
      </c>
      <c r="O44" s="23">
        <f>0</f>
        <v>0</v>
      </c>
      <c r="P44" s="23">
        <f>0</f>
        <v>0</v>
      </c>
      <c r="Q44" s="23">
        <f>0</f>
        <v>0</v>
      </c>
    </row>
    <row r="45" spans="1:17" ht="25.5" customHeight="1" x14ac:dyDescent="0.2">
      <c r="A45" s="18" t="s">
        <v>33</v>
      </c>
      <c r="B45" s="24">
        <f>2606401.53</f>
        <v>2606401.5299999998</v>
      </c>
      <c r="C45" s="24">
        <f>2606401.53</f>
        <v>2606401.5299999998</v>
      </c>
      <c r="D45" s="24">
        <f>2606401.53</f>
        <v>2606401.5299999998</v>
      </c>
      <c r="E45" s="24">
        <f>0</f>
        <v>0</v>
      </c>
      <c r="F45" s="24">
        <f>0</f>
        <v>0</v>
      </c>
      <c r="G45" s="24">
        <f>2606401.53</f>
        <v>2606401.5299999998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0</f>
        <v>0</v>
      </c>
      <c r="M45" s="24">
        <f>0</f>
        <v>0</v>
      </c>
      <c r="N45" s="24">
        <f>0</f>
        <v>0</v>
      </c>
      <c r="O45" s="24">
        <f>0</f>
        <v>0</v>
      </c>
      <c r="P45" s="24">
        <f>0</f>
        <v>0</v>
      </c>
      <c r="Q45" s="24">
        <f>0</f>
        <v>0</v>
      </c>
    </row>
    <row r="46" spans="1:17" ht="25.5" customHeight="1" x14ac:dyDescent="0.2">
      <c r="A46" s="18" t="s">
        <v>34</v>
      </c>
      <c r="B46" s="24">
        <f>7112177497.94</f>
        <v>7112177497.9399996</v>
      </c>
      <c r="C46" s="24">
        <f>7112177497.94</f>
        <v>7112177497.9399996</v>
      </c>
      <c r="D46" s="24">
        <f>22730.26</f>
        <v>22730.26</v>
      </c>
      <c r="E46" s="24">
        <f>1246.73</f>
        <v>1246.73</v>
      </c>
      <c r="F46" s="24">
        <f>263</f>
        <v>263</v>
      </c>
      <c r="G46" s="24">
        <f>21220.53</f>
        <v>21220.53</v>
      </c>
      <c r="H46" s="24">
        <f>0</f>
        <v>0</v>
      </c>
      <c r="I46" s="24">
        <f>6205049.84</f>
        <v>6205049.8399999999</v>
      </c>
      <c r="J46" s="24">
        <f>7105596906.14</f>
        <v>7105596906.1400003</v>
      </c>
      <c r="K46" s="24">
        <f>237911.48</f>
        <v>237911.48</v>
      </c>
      <c r="L46" s="24">
        <f>20617.1</f>
        <v>20617.099999999999</v>
      </c>
      <c r="M46" s="24">
        <f>0</f>
        <v>0</v>
      </c>
      <c r="N46" s="24">
        <f>94283.12</f>
        <v>94283.12</v>
      </c>
      <c r="O46" s="24">
        <f>0</f>
        <v>0</v>
      </c>
      <c r="P46" s="24">
        <f>0</f>
        <v>0</v>
      </c>
      <c r="Q46" s="24">
        <f>0</f>
        <v>0</v>
      </c>
    </row>
    <row r="47" spans="1:17" ht="25.5" customHeight="1" x14ac:dyDescent="0.2">
      <c r="A47" s="18" t="s">
        <v>35</v>
      </c>
      <c r="B47" s="24">
        <f>1380132757.04</f>
        <v>1380132757.04</v>
      </c>
      <c r="C47" s="24">
        <f>1380132757.04</f>
        <v>1380132757.04</v>
      </c>
      <c r="D47" s="24">
        <f>25916.4</f>
        <v>25916.400000000001</v>
      </c>
      <c r="E47" s="24">
        <f>21838.53</f>
        <v>21838.53</v>
      </c>
      <c r="F47" s="24">
        <f>2640</f>
        <v>2640</v>
      </c>
      <c r="G47" s="24">
        <f>1437.87</f>
        <v>1437.87</v>
      </c>
      <c r="H47" s="24">
        <f>0</f>
        <v>0</v>
      </c>
      <c r="I47" s="24">
        <f>0</f>
        <v>0</v>
      </c>
      <c r="J47" s="24">
        <f>1380064175.02</f>
        <v>1380064175.02</v>
      </c>
      <c r="K47" s="24">
        <f>7920</f>
        <v>7920</v>
      </c>
      <c r="L47" s="24">
        <f>32745.62</f>
        <v>32745.62</v>
      </c>
      <c r="M47" s="24">
        <f>2000</f>
        <v>2000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30" customHeight="1" x14ac:dyDescent="0.2">
      <c r="A48" s="25" t="s">
        <v>43</v>
      </c>
      <c r="B48" s="23">
        <f>882630065.59</f>
        <v>882630065.59000003</v>
      </c>
      <c r="C48" s="23">
        <f>881637113.41</f>
        <v>881637113.40999997</v>
      </c>
      <c r="D48" s="23">
        <f>35102604.27</f>
        <v>35102604.270000003</v>
      </c>
      <c r="E48" s="23">
        <f>10374185.94</f>
        <v>10374185.939999999</v>
      </c>
      <c r="F48" s="23">
        <f>1169468.48</f>
        <v>1169468.48</v>
      </c>
      <c r="G48" s="23">
        <f>23545149.73</f>
        <v>23545149.73</v>
      </c>
      <c r="H48" s="23">
        <f>13800.12</f>
        <v>13800.12</v>
      </c>
      <c r="I48" s="23">
        <f>0</f>
        <v>0</v>
      </c>
      <c r="J48" s="23">
        <f>3893692.02</f>
        <v>3893692.02</v>
      </c>
      <c r="K48" s="23">
        <f>583837.48</f>
        <v>583837.48</v>
      </c>
      <c r="L48" s="23">
        <f>250262163.11</f>
        <v>250262163.11000001</v>
      </c>
      <c r="M48" s="23">
        <f>584894904.46</f>
        <v>584894904.46000004</v>
      </c>
      <c r="N48" s="23">
        <f>6899912.07</f>
        <v>6899912.0700000003</v>
      </c>
      <c r="O48" s="23">
        <f>992952.18</f>
        <v>992952.18</v>
      </c>
      <c r="P48" s="23">
        <f>411331.63</f>
        <v>411331.63</v>
      </c>
      <c r="Q48" s="23">
        <f>581620.55</f>
        <v>581620.55000000005</v>
      </c>
    </row>
    <row r="49" spans="1:17" ht="25.5" customHeight="1" x14ac:dyDescent="0.2">
      <c r="A49" s="18" t="s">
        <v>36</v>
      </c>
      <c r="B49" s="24">
        <f>151888393.42</f>
        <v>151888393.41999999</v>
      </c>
      <c r="C49" s="24">
        <f>151855589.68</f>
        <v>151855589.68000001</v>
      </c>
      <c r="D49" s="24">
        <f>3264826.05</f>
        <v>3264826.05</v>
      </c>
      <c r="E49" s="24">
        <f>45749.77</f>
        <v>45749.77</v>
      </c>
      <c r="F49" s="24">
        <f>324363.03</f>
        <v>324363.03000000003</v>
      </c>
      <c r="G49" s="24">
        <f>2888936.87</f>
        <v>2888936.87</v>
      </c>
      <c r="H49" s="24">
        <f>5776.38</f>
        <v>5776.38</v>
      </c>
      <c r="I49" s="24">
        <f>0</f>
        <v>0</v>
      </c>
      <c r="J49" s="24">
        <f>864663.29</f>
        <v>864663.29</v>
      </c>
      <c r="K49" s="24">
        <f>219378.51</f>
        <v>219378.51</v>
      </c>
      <c r="L49" s="24">
        <f>49376105.11</f>
        <v>49376105.109999999</v>
      </c>
      <c r="M49" s="24">
        <f>96919329.43</f>
        <v>96919329.430000007</v>
      </c>
      <c r="N49" s="24">
        <f>1211287.29</f>
        <v>1211287.29</v>
      </c>
      <c r="O49" s="24">
        <f>32803.74</f>
        <v>32803.74</v>
      </c>
      <c r="P49" s="24">
        <f>25945.74</f>
        <v>25945.74</v>
      </c>
      <c r="Q49" s="24">
        <f>6858</f>
        <v>6858</v>
      </c>
    </row>
    <row r="50" spans="1:17" ht="25.5" customHeight="1" x14ac:dyDescent="0.2">
      <c r="A50" s="18" t="s">
        <v>37</v>
      </c>
      <c r="B50" s="24">
        <f>730741672.17</f>
        <v>730741672.16999996</v>
      </c>
      <c r="C50" s="24">
        <f>729781523.73</f>
        <v>729781523.73000002</v>
      </c>
      <c r="D50" s="24">
        <f>31837778.22</f>
        <v>31837778.219999999</v>
      </c>
      <c r="E50" s="24">
        <f>10328436.17</f>
        <v>10328436.17</v>
      </c>
      <c r="F50" s="24">
        <f>845105.45</f>
        <v>845105.45</v>
      </c>
      <c r="G50" s="24">
        <f>20656212.86</f>
        <v>20656212.859999999</v>
      </c>
      <c r="H50" s="24">
        <f>8023.74</f>
        <v>8023.74</v>
      </c>
      <c r="I50" s="24">
        <f>0</f>
        <v>0</v>
      </c>
      <c r="J50" s="24">
        <f>3029028.73</f>
        <v>3029028.73</v>
      </c>
      <c r="K50" s="24">
        <f>364458.97</f>
        <v>364458.97</v>
      </c>
      <c r="L50" s="24">
        <f>200886058</f>
        <v>200886058</v>
      </c>
      <c r="M50" s="24">
        <f>487975575.03</f>
        <v>487975575.02999997</v>
      </c>
      <c r="N50" s="24">
        <f>5688624.78</f>
        <v>5688624.7800000003</v>
      </c>
      <c r="O50" s="24">
        <f>960148.44</f>
        <v>960148.44</v>
      </c>
      <c r="P50" s="24">
        <f>385385.89</f>
        <v>385385.89</v>
      </c>
      <c r="Q50" s="24">
        <f>574762.55</f>
        <v>574762.55000000005</v>
      </c>
    </row>
    <row r="51" spans="1:17" ht="30" customHeight="1" x14ac:dyDescent="0.2">
      <c r="A51" s="25" t="s">
        <v>44</v>
      </c>
      <c r="B51" s="23">
        <f>772020700.32</f>
        <v>772020700.32000005</v>
      </c>
      <c r="C51" s="23">
        <f>771928092.31</f>
        <v>771928092.30999994</v>
      </c>
      <c r="D51" s="23">
        <f>255315927.61</f>
        <v>255315927.61000001</v>
      </c>
      <c r="E51" s="23">
        <f>28136199.89</f>
        <v>28136199.890000001</v>
      </c>
      <c r="F51" s="23">
        <f>2013714.06</f>
        <v>2013714.06</v>
      </c>
      <c r="G51" s="23">
        <f>216377052.89</f>
        <v>216377052.88999999</v>
      </c>
      <c r="H51" s="23">
        <f>8788960.77</f>
        <v>8788960.7699999996</v>
      </c>
      <c r="I51" s="23">
        <f>0</f>
        <v>0</v>
      </c>
      <c r="J51" s="23">
        <f>340215.6</f>
        <v>340215.6</v>
      </c>
      <c r="K51" s="23">
        <f>1589660.67</f>
        <v>1589660.67</v>
      </c>
      <c r="L51" s="23">
        <f>426405744.22</f>
        <v>426405744.22000003</v>
      </c>
      <c r="M51" s="23">
        <f>84669202.32</f>
        <v>84669202.319999993</v>
      </c>
      <c r="N51" s="23">
        <f>3607341.89</f>
        <v>3607341.89</v>
      </c>
      <c r="O51" s="23">
        <f>92608.01</f>
        <v>92608.01</v>
      </c>
      <c r="P51" s="23">
        <f>52963.91</f>
        <v>52963.91</v>
      </c>
      <c r="Q51" s="23">
        <f>39644.1</f>
        <v>39644.1</v>
      </c>
    </row>
    <row r="52" spans="1:17" ht="31.5" customHeight="1" x14ac:dyDescent="0.2">
      <c r="A52" s="18" t="s">
        <v>38</v>
      </c>
      <c r="B52" s="24">
        <f>83776720.56</f>
        <v>83776720.560000002</v>
      </c>
      <c r="C52" s="24">
        <f>83741458.45</f>
        <v>83741458.450000003</v>
      </c>
      <c r="D52" s="24">
        <f>40993339.35</f>
        <v>40993339.350000001</v>
      </c>
      <c r="E52" s="24">
        <f>774964.7</f>
        <v>774964.7</v>
      </c>
      <c r="F52" s="24">
        <f>300050.34</f>
        <v>300050.34000000003</v>
      </c>
      <c r="G52" s="24">
        <f>36093338.27</f>
        <v>36093338.270000003</v>
      </c>
      <c r="H52" s="24">
        <f>3824986.04</f>
        <v>3824986.04</v>
      </c>
      <c r="I52" s="24">
        <f>0</f>
        <v>0</v>
      </c>
      <c r="J52" s="24">
        <f>136077.77</f>
        <v>136077.76999999999</v>
      </c>
      <c r="K52" s="24">
        <f>266537.57</f>
        <v>266537.57</v>
      </c>
      <c r="L52" s="24">
        <f>19433498.27</f>
        <v>19433498.27</v>
      </c>
      <c r="M52" s="24">
        <f>21447506.8</f>
        <v>21447506.800000001</v>
      </c>
      <c r="N52" s="24">
        <f>1464498.69</f>
        <v>1464498.69</v>
      </c>
      <c r="O52" s="24">
        <f>35262.11</f>
        <v>35262.11</v>
      </c>
      <c r="P52" s="24">
        <f>21817.11</f>
        <v>21817.11</v>
      </c>
      <c r="Q52" s="24">
        <f>13445</f>
        <v>13445</v>
      </c>
    </row>
    <row r="53" spans="1:17" ht="35.25" customHeight="1" x14ac:dyDescent="0.2">
      <c r="A53" s="18" t="s">
        <v>80</v>
      </c>
      <c r="B53" s="24">
        <f>1185299.46</f>
        <v>1185299.46</v>
      </c>
      <c r="C53" s="24">
        <f>1185299.46</f>
        <v>1185299.46</v>
      </c>
      <c r="D53" s="24">
        <f>877549.66</f>
        <v>877549.66</v>
      </c>
      <c r="E53" s="24">
        <f>419319.55</f>
        <v>419319.55</v>
      </c>
      <c r="F53" s="24">
        <f>47</f>
        <v>47</v>
      </c>
      <c r="G53" s="24">
        <f>378462.22</f>
        <v>378462.22</v>
      </c>
      <c r="H53" s="24">
        <f>79720.89</f>
        <v>79720.89</v>
      </c>
      <c r="I53" s="24">
        <f>0</f>
        <v>0</v>
      </c>
      <c r="J53" s="24">
        <f>0</f>
        <v>0</v>
      </c>
      <c r="K53" s="24">
        <f>17173.44</f>
        <v>17173.439999999999</v>
      </c>
      <c r="L53" s="24">
        <f>2160.36</f>
        <v>2160.36</v>
      </c>
      <c r="M53" s="24">
        <f>288007.4</f>
        <v>288007.40000000002</v>
      </c>
      <c r="N53" s="24">
        <f>408.6</f>
        <v>408.6</v>
      </c>
      <c r="O53" s="24">
        <f>0</f>
        <v>0</v>
      </c>
      <c r="P53" s="24">
        <f>0</f>
        <v>0</v>
      </c>
      <c r="Q53" s="24">
        <f>0</f>
        <v>0</v>
      </c>
    </row>
    <row r="54" spans="1:17" ht="31.5" customHeight="1" x14ac:dyDescent="0.2">
      <c r="A54" s="18" t="s">
        <v>39</v>
      </c>
      <c r="B54" s="24">
        <f>687058680.3</f>
        <v>687058680.29999995</v>
      </c>
      <c r="C54" s="24">
        <f>687001334.4</f>
        <v>687001334.39999998</v>
      </c>
      <c r="D54" s="24">
        <f>213445038.6</f>
        <v>213445038.59999999</v>
      </c>
      <c r="E54" s="24">
        <f>26941915.64</f>
        <v>26941915.640000001</v>
      </c>
      <c r="F54" s="24">
        <f>1713616.72</f>
        <v>1713616.72</v>
      </c>
      <c r="G54" s="24">
        <f>179905252.4</f>
        <v>179905252.40000001</v>
      </c>
      <c r="H54" s="24">
        <f>4884253.84</f>
        <v>4884253.84</v>
      </c>
      <c r="I54" s="24">
        <f>0</f>
        <v>0</v>
      </c>
      <c r="J54" s="24">
        <f>204137.83</f>
        <v>204137.83</v>
      </c>
      <c r="K54" s="24">
        <f>1305949.66</f>
        <v>1305949.6599999999</v>
      </c>
      <c r="L54" s="24">
        <f>406970085.59</f>
        <v>406970085.58999997</v>
      </c>
      <c r="M54" s="24">
        <f>62933688.12</f>
        <v>62933688.119999997</v>
      </c>
      <c r="N54" s="24">
        <f>2142434.6</f>
        <v>2142434.6</v>
      </c>
      <c r="O54" s="24">
        <f>57345.9</f>
        <v>57345.9</v>
      </c>
      <c r="P54" s="24">
        <f>31146.8</f>
        <v>31146.799999999999</v>
      </c>
      <c r="Q54" s="24">
        <f>26199.1</f>
        <v>26199.1</v>
      </c>
    </row>
    <row r="63" spans="1:17" ht="66" customHeight="1" x14ac:dyDescent="0.2">
      <c r="A63" s="47" t="str">
        <f>CONCATENATE("Informacja z wykonania budżetów powiatów za   ",$C$90," ",$B$91," roku    ",$B$93,"")</f>
        <v xml:space="preserve">Informacja z wykonania budżetów powiatów za   II Kwartały 2024 roku    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</row>
    <row r="64" spans="1:17" ht="13.5" customHeight="1" x14ac:dyDescent="0.2">
      <c r="B64" s="48" t="s">
        <v>2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</row>
    <row r="66" spans="2:12" ht="13.5" customHeight="1" x14ac:dyDescent="0.2">
      <c r="B66" s="76" t="s">
        <v>0</v>
      </c>
      <c r="C66" s="77"/>
      <c r="D66" s="77"/>
      <c r="E66" s="78"/>
      <c r="F66" s="56" t="s">
        <v>68</v>
      </c>
      <c r="G66" s="33" t="s">
        <v>74</v>
      </c>
      <c r="H66" s="60"/>
      <c r="I66" s="60"/>
      <c r="J66" s="60"/>
      <c r="K66" s="60"/>
      <c r="L66" s="61"/>
    </row>
    <row r="67" spans="2:12" ht="13.5" customHeight="1" x14ac:dyDescent="0.2">
      <c r="B67" s="79"/>
      <c r="C67" s="80"/>
      <c r="D67" s="80"/>
      <c r="E67" s="81"/>
      <c r="F67" s="57"/>
      <c r="G67" s="59" t="s">
        <v>69</v>
      </c>
      <c r="H67" s="32" t="s">
        <v>66</v>
      </c>
      <c r="I67" s="32" t="s">
        <v>67</v>
      </c>
      <c r="J67" s="32" t="s">
        <v>70</v>
      </c>
      <c r="K67" s="32" t="s">
        <v>71</v>
      </c>
      <c r="L67" s="36" t="s">
        <v>72</v>
      </c>
    </row>
    <row r="68" spans="2:12" ht="13.5" customHeight="1" x14ac:dyDescent="0.2">
      <c r="B68" s="79"/>
      <c r="C68" s="80"/>
      <c r="D68" s="80"/>
      <c r="E68" s="81"/>
      <c r="F68" s="57"/>
      <c r="G68" s="59"/>
      <c r="H68" s="32"/>
      <c r="I68" s="32"/>
      <c r="J68" s="32"/>
      <c r="K68" s="32"/>
      <c r="L68" s="36"/>
    </row>
    <row r="69" spans="2:12" ht="11.25" customHeight="1" x14ac:dyDescent="0.2">
      <c r="B69" s="79"/>
      <c r="C69" s="80"/>
      <c r="D69" s="80"/>
      <c r="E69" s="81"/>
      <c r="F69" s="57"/>
      <c r="G69" s="59"/>
      <c r="H69" s="32"/>
      <c r="I69" s="32"/>
      <c r="J69" s="32"/>
      <c r="K69" s="32"/>
      <c r="L69" s="36"/>
    </row>
    <row r="70" spans="2:12" ht="11.25" customHeight="1" x14ac:dyDescent="0.2">
      <c r="B70" s="82"/>
      <c r="C70" s="83"/>
      <c r="D70" s="83"/>
      <c r="E70" s="84"/>
      <c r="F70" s="58"/>
      <c r="G70" s="59"/>
      <c r="H70" s="32"/>
      <c r="I70" s="32"/>
      <c r="J70" s="32"/>
      <c r="K70" s="32"/>
      <c r="L70" s="36"/>
    </row>
    <row r="71" spans="2:12" ht="11.25" customHeight="1" x14ac:dyDescent="0.2">
      <c r="B71" s="32">
        <v>1</v>
      </c>
      <c r="C71" s="32"/>
      <c r="D71" s="32"/>
      <c r="E71" s="32"/>
      <c r="F71" s="3">
        <v>2</v>
      </c>
      <c r="G71" s="3">
        <v>3</v>
      </c>
      <c r="H71" s="3">
        <v>4</v>
      </c>
      <c r="I71" s="3">
        <v>5</v>
      </c>
      <c r="J71" s="3">
        <v>6</v>
      </c>
      <c r="K71" s="3">
        <v>7</v>
      </c>
      <c r="L71" s="3">
        <v>8</v>
      </c>
    </row>
    <row r="72" spans="2:12" ht="12.75" customHeight="1" x14ac:dyDescent="0.2">
      <c r="B72" s="32"/>
      <c r="C72" s="32"/>
      <c r="D72" s="32"/>
      <c r="E72" s="32"/>
      <c r="F72" s="33" t="s">
        <v>76</v>
      </c>
      <c r="G72" s="34"/>
      <c r="H72" s="34"/>
      <c r="I72" s="34"/>
      <c r="J72" s="34"/>
      <c r="K72" s="34"/>
      <c r="L72" s="35"/>
    </row>
    <row r="73" spans="2:12" ht="33.75" customHeight="1" x14ac:dyDescent="0.2">
      <c r="B73" s="53" t="s">
        <v>53</v>
      </c>
      <c r="C73" s="54"/>
      <c r="D73" s="54"/>
      <c r="E73" s="55"/>
      <c r="F73" s="26">
        <f>498154790.71</f>
        <v>498154790.70999998</v>
      </c>
      <c r="G73" s="26">
        <f>240445628.14</f>
        <v>240445628.13999999</v>
      </c>
      <c r="H73" s="26">
        <f>33785350.89</f>
        <v>33785350.890000001</v>
      </c>
      <c r="I73" s="26">
        <f>9997910.2</f>
        <v>9997910.1999999993</v>
      </c>
      <c r="J73" s="26">
        <f>189428041.25</f>
        <v>189428041.25</v>
      </c>
      <c r="K73" s="26">
        <f>7234325.8</f>
        <v>7234325.7999999998</v>
      </c>
      <c r="L73" s="26">
        <f>257709162.57</f>
        <v>257709162.56999999</v>
      </c>
    </row>
    <row r="74" spans="2:12" ht="33.75" customHeight="1" x14ac:dyDescent="0.2">
      <c r="B74" s="53" t="s">
        <v>54</v>
      </c>
      <c r="C74" s="54"/>
      <c r="D74" s="54"/>
      <c r="E74" s="55"/>
      <c r="F74" s="26">
        <f>640000</f>
        <v>640000</v>
      </c>
      <c r="G74" s="26">
        <f>0</f>
        <v>0</v>
      </c>
      <c r="H74" s="26">
        <f>0</f>
        <v>0</v>
      </c>
      <c r="I74" s="26">
        <f>0</f>
        <v>0</v>
      </c>
      <c r="J74" s="26">
        <f>0</f>
        <v>0</v>
      </c>
      <c r="K74" s="26">
        <f>0</f>
        <v>0</v>
      </c>
      <c r="L74" s="26">
        <f>640000</f>
        <v>640000</v>
      </c>
    </row>
    <row r="75" spans="2:12" ht="33.75" customHeight="1" x14ac:dyDescent="0.2">
      <c r="B75" s="53" t="s">
        <v>55</v>
      </c>
      <c r="C75" s="54"/>
      <c r="D75" s="54"/>
      <c r="E75" s="55"/>
      <c r="F75" s="26">
        <f>23727721.27</f>
        <v>23727721.27</v>
      </c>
      <c r="G75" s="26">
        <f>9028304.32</f>
        <v>9028304.3200000003</v>
      </c>
      <c r="H75" s="26">
        <f>0</f>
        <v>0</v>
      </c>
      <c r="I75" s="26">
        <f>0</f>
        <v>0</v>
      </c>
      <c r="J75" s="26">
        <f>9028304.32</f>
        <v>9028304.3200000003</v>
      </c>
      <c r="K75" s="26">
        <f>0</f>
        <v>0</v>
      </c>
      <c r="L75" s="26">
        <f>14699416.95</f>
        <v>14699416.949999999</v>
      </c>
    </row>
    <row r="76" spans="2:12" ht="22.5" customHeight="1" x14ac:dyDescent="0.2">
      <c r="B76" s="53" t="s">
        <v>56</v>
      </c>
      <c r="C76" s="54"/>
      <c r="D76" s="54"/>
      <c r="E76" s="55"/>
      <c r="F76" s="26">
        <f>47543631.48</f>
        <v>47543631.479999997</v>
      </c>
      <c r="G76" s="26">
        <f>21281275.78</f>
        <v>21281275.780000001</v>
      </c>
      <c r="H76" s="26">
        <f>0</f>
        <v>0</v>
      </c>
      <c r="I76" s="26">
        <f>0</f>
        <v>0</v>
      </c>
      <c r="J76" s="26">
        <f>21281275.78</f>
        <v>21281275.780000001</v>
      </c>
      <c r="K76" s="26">
        <f>0</f>
        <v>0</v>
      </c>
      <c r="L76" s="26">
        <f>26262355.7</f>
        <v>26262355.699999999</v>
      </c>
    </row>
    <row r="77" spans="2:12" ht="33.75" customHeight="1" x14ac:dyDescent="0.2">
      <c r="B77" s="53" t="s">
        <v>57</v>
      </c>
      <c r="C77" s="54"/>
      <c r="D77" s="54"/>
      <c r="E77" s="55"/>
      <c r="F77" s="26">
        <f>11964943.41</f>
        <v>11964943.41</v>
      </c>
      <c r="G77" s="26">
        <f>11964943.41</f>
        <v>11964943.41</v>
      </c>
      <c r="H77" s="26">
        <f>0</f>
        <v>0</v>
      </c>
      <c r="I77" s="26">
        <f>0</f>
        <v>0</v>
      </c>
      <c r="J77" s="26">
        <f>11964943.41</f>
        <v>11964943.41</v>
      </c>
      <c r="K77" s="26">
        <f>0</f>
        <v>0</v>
      </c>
      <c r="L77" s="26">
        <f>0</f>
        <v>0</v>
      </c>
    </row>
    <row r="78" spans="2:12" ht="33.75" customHeight="1" x14ac:dyDescent="0.2">
      <c r="B78" s="53" t="s">
        <v>58</v>
      </c>
      <c r="C78" s="54"/>
      <c r="D78" s="54"/>
      <c r="E78" s="55"/>
      <c r="F78" s="26">
        <f>1174375</f>
        <v>1174375</v>
      </c>
      <c r="G78" s="26">
        <f>174375</f>
        <v>174375</v>
      </c>
      <c r="H78" s="26">
        <f>0</f>
        <v>0</v>
      </c>
      <c r="I78" s="26">
        <f>0</f>
        <v>0</v>
      </c>
      <c r="J78" s="26">
        <f>174375</f>
        <v>174375</v>
      </c>
      <c r="K78" s="26">
        <f>0</f>
        <v>0</v>
      </c>
      <c r="L78" s="26">
        <f>1000000</f>
        <v>1000000</v>
      </c>
    </row>
    <row r="79" spans="2:12" ht="22.5" customHeight="1" x14ac:dyDescent="0.2">
      <c r="B79" s="53" t="s">
        <v>59</v>
      </c>
      <c r="C79" s="54"/>
      <c r="D79" s="54"/>
      <c r="E79" s="55"/>
      <c r="F79" s="26">
        <f>0</f>
        <v>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0</f>
        <v>0</v>
      </c>
    </row>
    <row r="82" spans="1:13" ht="75" customHeight="1" x14ac:dyDescent="0.2">
      <c r="A82" s="47" t="str">
        <f>CONCATENATE("Informacja z wykonania budżetów powiatów za   ",$C$90," ",$B$91," roku    ",$B$93,"")</f>
        <v xml:space="preserve">Informacja z wykonania budżetów powiatów za   II Kwartały 2024 roku    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</row>
    <row r="83" spans="1:13" ht="13.5" customHeight="1" x14ac:dyDescent="0.2">
      <c r="B83" s="4"/>
    </row>
    <row r="84" spans="1:13" ht="13.5" customHeight="1" x14ac:dyDescent="0.2">
      <c r="B84" s="5"/>
      <c r="C84" s="33"/>
      <c r="D84" s="60"/>
      <c r="E84" s="60"/>
      <c r="F84" s="61"/>
      <c r="G84" s="33" t="s">
        <v>3</v>
      </c>
      <c r="H84" s="61"/>
      <c r="I84" s="33" t="s">
        <v>4</v>
      </c>
      <c r="J84" s="61"/>
      <c r="K84" s="5"/>
    </row>
    <row r="85" spans="1:13" ht="13.5" customHeight="1" x14ac:dyDescent="0.2">
      <c r="B85" s="6"/>
      <c r="C85" s="66" t="s">
        <v>5</v>
      </c>
      <c r="D85" s="67"/>
      <c r="E85" s="67"/>
      <c r="F85" s="68"/>
      <c r="G85" s="62">
        <f>295</f>
        <v>295</v>
      </c>
      <c r="H85" s="63"/>
      <c r="I85" s="64">
        <f>3292349121.35</f>
        <v>3292349121.3499999</v>
      </c>
      <c r="J85" s="65"/>
      <c r="K85" s="7"/>
    </row>
    <row r="86" spans="1:13" ht="13.5" customHeight="1" x14ac:dyDescent="0.2">
      <c r="B86" s="6"/>
      <c r="C86" s="69" t="s">
        <v>6</v>
      </c>
      <c r="D86" s="70"/>
      <c r="E86" s="70"/>
      <c r="F86" s="71"/>
      <c r="G86" s="72">
        <f>19</f>
        <v>19</v>
      </c>
      <c r="H86" s="73"/>
      <c r="I86" s="74">
        <f>-59111512</f>
        <v>-59111512</v>
      </c>
      <c r="J86" s="75"/>
      <c r="K86" s="7"/>
    </row>
    <row r="87" spans="1:13" ht="13.5" customHeight="1" x14ac:dyDescent="0.2">
      <c r="B87" s="6"/>
      <c r="C87" s="66" t="s">
        <v>7</v>
      </c>
      <c r="D87" s="67"/>
      <c r="E87" s="67"/>
      <c r="F87" s="68"/>
      <c r="G87" s="62">
        <f>0</f>
        <v>0</v>
      </c>
      <c r="H87" s="63"/>
      <c r="I87" s="64">
        <f>0</f>
        <v>0</v>
      </c>
      <c r="J87" s="65"/>
      <c r="K87" s="7"/>
    </row>
    <row r="90" spans="1:13" ht="13.5" customHeight="1" x14ac:dyDescent="0.2">
      <c r="A90" s="8" t="s">
        <v>8</v>
      </c>
      <c r="B90" s="8">
        <f>2</f>
        <v>2</v>
      </c>
      <c r="C90" s="8" t="str">
        <f>IF(B90=1,"I Kwartał",IF(B90=2,"II Kwartały",IF(B90=3,"III Kwartały",IF(B90=4,"IV Kwartały","-"))))</f>
        <v>II Kwartały</v>
      </c>
    </row>
    <row r="91" spans="1:13" ht="13.5" customHeight="1" x14ac:dyDescent="0.2">
      <c r="A91" s="8" t="s">
        <v>9</v>
      </c>
      <c r="B91" s="8">
        <f>2024</f>
        <v>2024</v>
      </c>
      <c r="C91" s="9"/>
    </row>
    <row r="92" spans="1:13" ht="13.5" customHeight="1" x14ac:dyDescent="0.2">
      <c r="A92" s="8" t="s">
        <v>10</v>
      </c>
      <c r="B92" s="10" t="str">
        <f>"Aug 14 2024 12:00AM"</f>
        <v>Aug 14 2024 12:00AM</v>
      </c>
      <c r="C92" s="9"/>
    </row>
    <row r="93" spans="1:13" ht="13.5" customHeight="1" x14ac:dyDescent="0.2">
      <c r="A93" s="14" t="s">
        <v>75</v>
      </c>
      <c r="B93" s="10" t="str">
        <f>""</f>
        <v/>
      </c>
    </row>
  </sheetData>
  <mergeCells count="79">
    <mergeCell ref="O6:Q6"/>
    <mergeCell ref="O7:O10"/>
    <mergeCell ref="A63:M63"/>
    <mergeCell ref="L32:L35"/>
    <mergeCell ref="P32:P35"/>
    <mergeCell ref="Q32:Q35"/>
    <mergeCell ref="N32:N35"/>
    <mergeCell ref="O32:O35"/>
    <mergeCell ref="D32:D35"/>
    <mergeCell ref="H7:H10"/>
    <mergeCell ref="B78:E78"/>
    <mergeCell ref="I85:J85"/>
    <mergeCell ref="B64:M64"/>
    <mergeCell ref="I84:J84"/>
    <mergeCell ref="B72:E72"/>
    <mergeCell ref="B66:E70"/>
    <mergeCell ref="B79:E79"/>
    <mergeCell ref="A82:M82"/>
    <mergeCell ref="B75:E75"/>
    <mergeCell ref="B76:E76"/>
    <mergeCell ref="G87:H87"/>
    <mergeCell ref="I87:J87"/>
    <mergeCell ref="C84:F84"/>
    <mergeCell ref="C85:F85"/>
    <mergeCell ref="C86:F86"/>
    <mergeCell ref="C87:F87"/>
    <mergeCell ref="G85:H85"/>
    <mergeCell ref="G84:H84"/>
    <mergeCell ref="G86:H86"/>
    <mergeCell ref="I86:J86"/>
    <mergeCell ref="C6:N6"/>
    <mergeCell ref="D7:D10"/>
    <mergeCell ref="E7:E10"/>
    <mergeCell ref="B77:E77"/>
    <mergeCell ref="B74:E74"/>
    <mergeCell ref="M32:M35"/>
    <mergeCell ref="B73:E73"/>
    <mergeCell ref="F66:F70"/>
    <mergeCell ref="G67:G70"/>
    <mergeCell ref="G66:L66"/>
    <mergeCell ref="F7:F10"/>
    <mergeCell ref="I7:I10"/>
    <mergeCell ref="J7:J10"/>
    <mergeCell ref="A1:M1"/>
    <mergeCell ref="C5:M5"/>
    <mergeCell ref="A3:M3"/>
    <mergeCell ref="K7:K10"/>
    <mergeCell ref="C7:C10"/>
    <mergeCell ref="B6:B10"/>
    <mergeCell ref="A6:A10"/>
    <mergeCell ref="Q7:Q10"/>
    <mergeCell ref="C31:N31"/>
    <mergeCell ref="L7:L10"/>
    <mergeCell ref="M7:M10"/>
    <mergeCell ref="N7:N10"/>
    <mergeCell ref="P7:P10"/>
    <mergeCell ref="A27:M27"/>
    <mergeCell ref="O31:Q31"/>
    <mergeCell ref="A29:M29"/>
    <mergeCell ref="G7:G10"/>
    <mergeCell ref="J32:J35"/>
    <mergeCell ref="A31:A35"/>
    <mergeCell ref="C32:C35"/>
    <mergeCell ref="E32:E35"/>
    <mergeCell ref="B31:B35"/>
    <mergeCell ref="K67:K70"/>
    <mergeCell ref="H67:H70"/>
    <mergeCell ref="I67:I70"/>
    <mergeCell ref="J67:J70"/>
    <mergeCell ref="B12:Q12"/>
    <mergeCell ref="B37:Q37"/>
    <mergeCell ref="B71:E71"/>
    <mergeCell ref="F72:L72"/>
    <mergeCell ref="L67:L70"/>
    <mergeCell ref="F32:F35"/>
    <mergeCell ref="G32:G35"/>
    <mergeCell ref="H32:H35"/>
    <mergeCell ref="K32:K35"/>
    <mergeCell ref="I32:I35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6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2009-11-20T13:10:55Z</cp:lastPrinted>
  <dcterms:created xsi:type="dcterms:W3CDTF">2001-05-17T08:58:03Z</dcterms:created>
  <dcterms:modified xsi:type="dcterms:W3CDTF">2024-08-26T09:35:37Z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2024-08-26T11:35:29.2049583+02:00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GRN-019136c0-2de1-4bb5-98e3-8f43c42c8ccf</vt:lpwstr>
  </property>
  <property fmtid="{D5CDD505-2E9C-101B-9397-08002B2CF9AE}" pid="7" name="MFHash">
    <vt:lpwstr>zmoXNHHQAH/nS/RydZtWogbOl7KOFiuhWNt3uQifkyU=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