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7311512D-E8F5-458C-8BBB-76128F4D6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4" l="1"/>
  <c r="C106" i="4"/>
  <c r="C105" i="4"/>
  <c r="C104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0" i="4"/>
  <c r="H60" i="4"/>
  <c r="G60" i="4"/>
  <c r="F60" i="4"/>
  <c r="E60" i="4"/>
  <c r="D60" i="4"/>
  <c r="C60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D42" i="4"/>
  <c r="C42" i="4"/>
  <c r="D40" i="4"/>
  <c r="C40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K26" i="4" s="1"/>
  <c r="D25" i="4"/>
  <c r="K25" i="4" s="1"/>
  <c r="C25" i="4"/>
  <c r="D24" i="4"/>
  <c r="J24" i="4" s="1"/>
  <c r="C24" i="4"/>
  <c r="D23" i="4"/>
  <c r="J23" i="4" s="1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J9" i="4" s="1"/>
  <c r="C9" i="4"/>
  <c r="D8" i="4"/>
  <c r="K8" i="4" s="1"/>
  <c r="C8" i="4"/>
  <c r="D7" i="4"/>
  <c r="K7" i="4" s="1"/>
  <c r="C7" i="4"/>
  <c r="D5" i="4"/>
  <c r="C5" i="4"/>
  <c r="K30" i="4"/>
  <c r="K18" i="4"/>
  <c r="I55" i="4"/>
  <c r="I61" i="4" s="1"/>
  <c r="K54" i="4"/>
  <c r="K32" i="4"/>
  <c r="K88" i="4"/>
  <c r="K20" i="4"/>
  <c r="K76" i="4"/>
  <c r="K9" i="4"/>
  <c r="K81" i="4"/>
  <c r="G55" i="4"/>
  <c r="G61" i="4"/>
  <c r="K67" i="4"/>
  <c r="K14" i="4"/>
  <c r="H55" i="4"/>
  <c r="H61" i="4" s="1"/>
  <c r="K83" i="4"/>
  <c r="K31" i="4"/>
  <c r="K87" i="4"/>
  <c r="K19" i="4"/>
  <c r="K75" i="4"/>
  <c r="K37" i="4"/>
  <c r="K59" i="4"/>
  <c r="K89" i="4"/>
  <c r="K38" i="4"/>
  <c r="K77" i="4"/>
  <c r="K39" i="4"/>
  <c r="E55" i="4"/>
  <c r="E61" i="4" s="1"/>
  <c r="K57" i="4"/>
  <c r="K13" i="4"/>
  <c r="C12" i="4"/>
  <c r="C11" i="4" s="1"/>
  <c r="F55" i="4"/>
  <c r="F61" i="4" s="1"/>
  <c r="I68" i="4"/>
  <c r="K82" i="4"/>
  <c r="K15" i="4"/>
  <c r="K84" i="4"/>
  <c r="J86" i="4"/>
  <c r="J87" i="4"/>
  <c r="J85" i="4"/>
  <c r="J84" i="4"/>
  <c r="J89" i="4"/>
  <c r="J88" i="4"/>
  <c r="K16" i="4"/>
  <c r="K22" i="4"/>
  <c r="K28" i="4"/>
  <c r="K34" i="4"/>
  <c r="K42" i="4"/>
  <c r="E68" i="4"/>
  <c r="K73" i="4"/>
  <c r="K79" i="4"/>
  <c r="K85" i="4"/>
  <c r="K21" i="4"/>
  <c r="K33" i="4"/>
  <c r="K66" i="4"/>
  <c r="C68" i="4"/>
  <c r="K78" i="4"/>
  <c r="K56" i="4"/>
  <c r="K58" i="4"/>
  <c r="F68" i="4"/>
  <c r="J77" i="4"/>
  <c r="J78" i="4"/>
  <c r="J80" i="4"/>
  <c r="J76" i="4"/>
  <c r="J73" i="4"/>
  <c r="J75" i="4"/>
  <c r="J79" i="4"/>
  <c r="J82" i="4"/>
  <c r="J81" i="4"/>
  <c r="J83" i="4"/>
  <c r="J74" i="4"/>
  <c r="K29" i="4"/>
  <c r="C35" i="4"/>
  <c r="K36" i="4"/>
  <c r="K52" i="4"/>
  <c r="C55" i="4"/>
  <c r="G68" i="4"/>
  <c r="K74" i="4"/>
  <c r="K80" i="4"/>
  <c r="K86" i="4"/>
  <c r="K53" i="4"/>
  <c r="K5" i="4"/>
  <c r="C62" i="4"/>
  <c r="C41" i="4"/>
  <c r="C43" i="4" s="1"/>
  <c r="K27" i="4"/>
  <c r="K40" i="4"/>
  <c r="J37" i="4"/>
  <c r="J31" i="4"/>
  <c r="J29" i="4"/>
  <c r="J20" i="4"/>
  <c r="J21" i="4"/>
  <c r="J28" i="4"/>
  <c r="J33" i="4"/>
  <c r="J22" i="4"/>
  <c r="J17" i="4"/>
  <c r="D62" i="4"/>
  <c r="J5" i="4"/>
  <c r="J14" i="4"/>
  <c r="J34" i="4"/>
  <c r="J39" i="4"/>
  <c r="D41" i="4"/>
  <c r="D43" i="4" s="1"/>
  <c r="J40" i="4"/>
  <c r="J36" i="4"/>
  <c r="J19" i="4"/>
  <c r="J18" i="4"/>
  <c r="J26" i="4"/>
  <c r="J13" i="4"/>
  <c r="J32" i="4"/>
  <c r="J15" i="4"/>
  <c r="J27" i="4"/>
  <c r="J38" i="4"/>
  <c r="J16" i="4"/>
  <c r="J30" i="4"/>
  <c r="J67" i="4"/>
  <c r="D68" i="4"/>
  <c r="K68" i="4" s="1"/>
  <c r="J66" i="4"/>
  <c r="D104" i="4"/>
  <c r="B45" i="4" s="1"/>
  <c r="D35" i="4"/>
  <c r="J35" i="4" s="1"/>
  <c r="J54" i="4"/>
  <c r="J57" i="4"/>
  <c r="J56" i="4"/>
  <c r="D55" i="4"/>
  <c r="J55" i="4" s="1"/>
  <c r="J60" i="4"/>
  <c r="J53" i="4"/>
  <c r="J59" i="4"/>
  <c r="J58" i="4"/>
  <c r="J52" i="4"/>
  <c r="K60" i="4"/>
  <c r="H68" i="4"/>
  <c r="C61" i="4"/>
  <c r="K35" i="4" l="1"/>
  <c r="B1" i="4"/>
  <c r="B69" i="4"/>
  <c r="J68" i="4"/>
  <c r="D61" i="4"/>
  <c r="K55" i="4"/>
  <c r="C63" i="4"/>
  <c r="J25" i="4"/>
  <c r="D12" i="4"/>
  <c r="K24" i="4"/>
  <c r="K23" i="4"/>
  <c r="J12" i="4"/>
  <c r="K12" i="4"/>
  <c r="D11" i="4"/>
  <c r="K17" i="4"/>
  <c r="K11" i="4"/>
  <c r="C6" i="4"/>
  <c r="J8" i="4"/>
  <c r="J7" i="4"/>
  <c r="J43" i="4"/>
  <c r="D63" i="4"/>
  <c r="K41" i="4"/>
  <c r="J42" i="4"/>
  <c r="J41" i="4"/>
  <c r="K43" i="4"/>
  <c r="J61" i="4" l="1"/>
  <c r="K61" i="4"/>
  <c r="J11" i="4"/>
  <c r="D6" i="4"/>
  <c r="K6" i="4" s="1"/>
  <c r="C10" i="4"/>
  <c r="J6" i="4" l="1"/>
  <c r="L7" i="4"/>
  <c r="L8" i="4"/>
  <c r="L6" i="4"/>
  <c r="L9" i="4"/>
  <c r="D10" i="4"/>
  <c r="K10" i="4" s="1"/>
  <c r="J10" i="4" l="1"/>
  <c r="L10" i="4"/>
</calcChain>
</file>

<file path=xl/sharedStrings.xml><?xml version="1.0" encoding="utf-8"?>
<sst xmlns="http://schemas.openxmlformats.org/spreadsheetml/2006/main" count="406" uniqueCount="105">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</sst>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5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5" fontId="33" fillId="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5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5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5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5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5" fontId="35" fillId="21" borderId="10" xfId="28" applyNumberFormat="1" applyFont="1" applyFill="1" applyBorder="1" applyAlignment="1">
      <alignment horizontal="right" vertical="center"/>
    </xf>
    <xf numFmtId="165" fontId="35" fillId="21" borderId="10" xfId="0" applyNumberFormat="1" applyFont="1" applyFill="1" applyBorder="1" applyAlignment="1">
      <alignment horizontal="right" vertical="center"/>
    </xf>
    <xf numFmtId="4" fontId="34" fillId="22" borderId="12" xfId="0" applyNumberFormat="1" applyFont="1" applyFill="1" applyBorder="1" applyAlignment="1">
      <alignment horizontal="right" vertical="center"/>
    </xf>
    <xf numFmtId="165" fontId="35" fillId="22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2" borderId="10" xfId="44" applyFont="1" applyFill="1" applyBorder="1" applyAlignment="1">
      <alignment horizontal="left" vertical="top" wrapText="1"/>
    </xf>
    <xf numFmtId="4" fontId="32" fillId="22" borderId="10" xfId="0" applyNumberFormat="1" applyFont="1" applyFill="1" applyBorder="1" applyAlignment="1">
      <alignment horizontal="right" vertical="center"/>
    </xf>
    <xf numFmtId="165" fontId="32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3" fillId="0" borderId="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2" borderId="10" xfId="0" applyNumberFormat="1" applyFont="1" applyFill="1" applyBorder="1" applyAlignment="1">
      <alignment horizontal="right" vertical="center" wrapText="1"/>
    </xf>
    <xf numFmtId="165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5" fontId="35" fillId="0" borderId="10" xfId="28" applyNumberFormat="1" applyFont="1" applyFill="1" applyBorder="1" applyAlignment="1">
      <alignment horizontal="right" vertical="center"/>
    </xf>
    <xf numFmtId="165" fontId="35" fillId="0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165" fontId="33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vertical="center"/>
    </xf>
    <xf numFmtId="4" fontId="32" fillId="22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3" fillId="22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2" fillId="22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37" fillId="0" borderId="10" xfId="45" applyFont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7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17" t="str">
        <f>CONCATENATE("Informacja z wykonania budżetów powiatów za ",$D$104," ",$C$105," rok     ",$C$107,"")</f>
        <v xml:space="preserve">Informacja z wykonania budżetów powiatów za III Kwartały 2024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">
      <c r="B2" s="130" t="s">
        <v>0</v>
      </c>
      <c r="C2" s="14" t="s">
        <v>26</v>
      </c>
      <c r="D2" s="14" t="s">
        <v>27</v>
      </c>
      <c r="E2" s="14" t="s">
        <v>86</v>
      </c>
      <c r="F2" s="14" t="s">
        <v>87</v>
      </c>
      <c r="G2" s="14" t="s">
        <v>88</v>
      </c>
      <c r="H2" s="14" t="s">
        <v>89</v>
      </c>
      <c r="I2" s="14" t="s">
        <v>90</v>
      </c>
      <c r="J2" s="16" t="s">
        <v>2</v>
      </c>
      <c r="K2" s="14" t="s">
        <v>18</v>
      </c>
      <c r="L2" s="14" t="s">
        <v>3</v>
      </c>
    </row>
    <row r="3" spans="2:13" x14ac:dyDescent="0.2">
      <c r="B3" s="130"/>
      <c r="C3" s="135" t="s">
        <v>59</v>
      </c>
      <c r="D3" s="137"/>
      <c r="E3" s="139" t="s">
        <v>85</v>
      </c>
      <c r="F3" s="140"/>
      <c r="G3" s="140"/>
      <c r="H3" s="140"/>
      <c r="I3" s="141"/>
      <c r="J3" s="135" t="s">
        <v>4</v>
      </c>
      <c r="K3" s="136"/>
      <c r="L3" s="137"/>
    </row>
    <row r="4" spans="2:13" ht="9" customHeight="1" x14ac:dyDescent="0.2">
      <c r="B4" s="16">
        <v>1</v>
      </c>
      <c r="C4" s="18">
        <v>2</v>
      </c>
      <c r="D4" s="18">
        <v>3</v>
      </c>
      <c r="E4" s="142"/>
      <c r="F4" s="143"/>
      <c r="G4" s="143"/>
      <c r="H4" s="143"/>
      <c r="I4" s="144"/>
      <c r="J4" s="18">
        <v>4</v>
      </c>
      <c r="K4" s="18">
        <v>5</v>
      </c>
      <c r="L4" s="18">
        <v>6</v>
      </c>
    </row>
    <row r="5" spans="2:13" ht="12.95" customHeight="1" x14ac:dyDescent="0.2">
      <c r="B5" s="106" t="s">
        <v>5</v>
      </c>
      <c r="C5" s="54">
        <f>55834261842.99</f>
        <v>55834261842.989998</v>
      </c>
      <c r="D5" s="54">
        <f>40488591064.08</f>
        <v>40488591064.080002</v>
      </c>
      <c r="E5" s="97" t="s">
        <v>85</v>
      </c>
      <c r="F5" s="97" t="s">
        <v>85</v>
      </c>
      <c r="G5" s="97" t="s">
        <v>85</v>
      </c>
      <c r="H5" s="97" t="s">
        <v>85</v>
      </c>
      <c r="I5" s="97" t="s">
        <v>85</v>
      </c>
      <c r="J5" s="55">
        <f t="shared" ref="J5:J40" si="0">IF($D$5=0,"",100*$D5/$D$5)</f>
        <v>100</v>
      </c>
      <c r="K5" s="55">
        <f t="shared" ref="K5:K43" si="1">IF(C5=0,"",100*D5/C5)</f>
        <v>72.515673580384856</v>
      </c>
      <c r="L5" s="55"/>
    </row>
    <row r="6" spans="2:13" ht="26.85" customHeight="1" x14ac:dyDescent="0.2">
      <c r="B6" s="107" t="s">
        <v>41</v>
      </c>
      <c r="C6" s="30">
        <f>C5-C11-C35</f>
        <v>17865360535.469997</v>
      </c>
      <c r="D6" s="30">
        <f>D5-D11-D35</f>
        <v>13032460911.940002</v>
      </c>
      <c r="E6" s="97" t="s">
        <v>85</v>
      </c>
      <c r="F6" s="97" t="s">
        <v>85</v>
      </c>
      <c r="G6" s="97" t="s">
        <v>85</v>
      </c>
      <c r="H6" s="97" t="s">
        <v>85</v>
      </c>
      <c r="I6" s="97" t="s">
        <v>85</v>
      </c>
      <c r="J6" s="31">
        <f t="shared" si="0"/>
        <v>32.187983255119796</v>
      </c>
      <c r="K6" s="31">
        <f t="shared" si="1"/>
        <v>72.948211070609375</v>
      </c>
      <c r="L6" s="31">
        <f>IF($D$6=0,"",100*$D6/$D$6)</f>
        <v>100</v>
      </c>
    </row>
    <row r="7" spans="2:13" ht="22.5" outlineLevel="1" x14ac:dyDescent="0.2">
      <c r="B7" s="109" t="s">
        <v>25</v>
      </c>
      <c r="C7" s="32">
        <f>596375302</f>
        <v>596375302</v>
      </c>
      <c r="D7" s="32">
        <f>447766515</f>
        <v>447766515</v>
      </c>
      <c r="E7" s="97" t="s">
        <v>85</v>
      </c>
      <c r="F7" s="97" t="s">
        <v>85</v>
      </c>
      <c r="G7" s="97" t="s">
        <v>85</v>
      </c>
      <c r="H7" s="97" t="s">
        <v>85</v>
      </c>
      <c r="I7" s="97" t="s">
        <v>85</v>
      </c>
      <c r="J7" s="33">
        <f t="shared" si="0"/>
        <v>1.1059078699264546</v>
      </c>
      <c r="K7" s="33">
        <f t="shared" si="1"/>
        <v>75.08133108436472</v>
      </c>
      <c r="L7" s="33">
        <f>IF($D$6=0,"",100*$D7/$D$6)</f>
        <v>3.4357786915728856</v>
      </c>
    </row>
    <row r="8" spans="2:13" ht="22.5" outlineLevel="1" x14ac:dyDescent="0.2">
      <c r="B8" s="109" t="s">
        <v>19</v>
      </c>
      <c r="C8" s="32">
        <f>8009113062</f>
        <v>8009113062</v>
      </c>
      <c r="D8" s="32">
        <f>6008375727</f>
        <v>6008375727</v>
      </c>
      <c r="E8" s="97" t="s">
        <v>85</v>
      </c>
      <c r="F8" s="97" t="s">
        <v>85</v>
      </c>
      <c r="G8" s="97" t="s">
        <v>85</v>
      </c>
      <c r="H8" s="97" t="s">
        <v>85</v>
      </c>
      <c r="I8" s="97" t="s">
        <v>85</v>
      </c>
      <c r="J8" s="33">
        <f t="shared" si="0"/>
        <v>14.839675990430823</v>
      </c>
      <c r="K8" s="33">
        <f t="shared" si="1"/>
        <v>75.019239714660927</v>
      </c>
      <c r="L8" s="33">
        <f>IF($D$6=0,"",100*$D8/$D$6)</f>
        <v>46.103155555949392</v>
      </c>
    </row>
    <row r="9" spans="2:13" ht="12.95" customHeight="1" outlineLevel="1" x14ac:dyDescent="0.2">
      <c r="B9" s="109" t="s">
        <v>20</v>
      </c>
      <c r="C9" s="32">
        <f>525607930.82</f>
        <v>525607930.81999999</v>
      </c>
      <c r="D9" s="56">
        <f>252636628.45</f>
        <v>252636628.44999999</v>
      </c>
      <c r="E9" s="97" t="s">
        <v>85</v>
      </c>
      <c r="F9" s="97" t="s">
        <v>85</v>
      </c>
      <c r="G9" s="97" t="s">
        <v>85</v>
      </c>
      <c r="H9" s="97" t="s">
        <v>85</v>
      </c>
      <c r="I9" s="97" t="s">
        <v>85</v>
      </c>
      <c r="J9" s="33">
        <f t="shared" si="0"/>
        <v>0.62396991797062062</v>
      </c>
      <c r="K9" s="33">
        <f t="shared" si="1"/>
        <v>48.065604348066444</v>
      </c>
      <c r="L9" s="33">
        <f>IF($D$6=0,"",100*$D9/$D$6)</f>
        <v>1.9385182135366381</v>
      </c>
    </row>
    <row r="10" spans="2:13" ht="12.95" customHeight="1" outlineLevel="1" x14ac:dyDescent="0.2">
      <c r="B10" s="109" t="s">
        <v>21</v>
      </c>
      <c r="C10" s="32">
        <f>C6-C8-C7-C9</f>
        <v>8734264240.6499977</v>
      </c>
      <c r="D10" s="32">
        <f>D6-D8-D7-D9</f>
        <v>6323682041.4900026</v>
      </c>
      <c r="E10" s="97" t="s">
        <v>85</v>
      </c>
      <c r="F10" s="97" t="s">
        <v>85</v>
      </c>
      <c r="G10" s="97" t="s">
        <v>85</v>
      </c>
      <c r="H10" s="97" t="s">
        <v>85</v>
      </c>
      <c r="I10" s="97" t="s">
        <v>85</v>
      </c>
      <c r="J10" s="33">
        <f t="shared" si="0"/>
        <v>15.618429476791901</v>
      </c>
      <c r="K10" s="33">
        <f t="shared" si="1"/>
        <v>72.400855610241976</v>
      </c>
      <c r="L10" s="33">
        <f>IF($D$6=0,"",100*$D10/$D$6)</f>
        <v>48.522547538941083</v>
      </c>
    </row>
    <row r="11" spans="2:13" ht="26.85" customHeight="1" x14ac:dyDescent="0.2">
      <c r="B11" s="108" t="s">
        <v>91</v>
      </c>
      <c r="C11" s="54">
        <f>C12+C31+C33</f>
        <v>14874946170.780001</v>
      </c>
      <c r="D11" s="54">
        <f>D12+D31+D33</f>
        <v>8485320709.1399994</v>
      </c>
      <c r="E11" s="97" t="s">
        <v>85</v>
      </c>
      <c r="F11" s="97" t="s">
        <v>85</v>
      </c>
      <c r="G11" s="97" t="s">
        <v>85</v>
      </c>
      <c r="H11" s="97" t="s">
        <v>85</v>
      </c>
      <c r="I11" s="97" t="s">
        <v>85</v>
      </c>
      <c r="J11" s="55">
        <f t="shared" si="0"/>
        <v>20.957312877868617</v>
      </c>
      <c r="K11" s="55">
        <f t="shared" si="1"/>
        <v>57.044379265105292</v>
      </c>
      <c r="L11" s="57"/>
    </row>
    <row r="12" spans="2:13" ht="26.85" customHeight="1" outlineLevel="1" x14ac:dyDescent="0.2">
      <c r="B12" s="110" t="s">
        <v>42</v>
      </c>
      <c r="C12" s="54">
        <f>C13+C15+C17+C19+C21+C23+C25+C27+C29</f>
        <v>13239941596.970001</v>
      </c>
      <c r="D12" s="54">
        <f>D13+D15+D17+D19+D21+D23+D25+D27+D29</f>
        <v>7709009556.3499994</v>
      </c>
      <c r="E12" s="97" t="s">
        <v>85</v>
      </c>
      <c r="F12" s="97" t="s">
        <v>85</v>
      </c>
      <c r="G12" s="97" t="s">
        <v>85</v>
      </c>
      <c r="H12" s="97" t="s">
        <v>85</v>
      </c>
      <c r="I12" s="97" t="s">
        <v>85</v>
      </c>
      <c r="J12" s="55">
        <f t="shared" si="0"/>
        <v>19.039955092903075</v>
      </c>
      <c r="K12" s="55">
        <f t="shared" si="1"/>
        <v>58.225404544943224</v>
      </c>
      <c r="L12" s="36"/>
    </row>
    <row r="13" spans="2:13" ht="22.5" outlineLevel="1" x14ac:dyDescent="0.2">
      <c r="B13" s="111" t="s">
        <v>9</v>
      </c>
      <c r="C13" s="32">
        <f>3771081362.02</f>
        <v>3771081362.02</v>
      </c>
      <c r="D13" s="32">
        <f>3025879787.22</f>
        <v>3025879787.2199998</v>
      </c>
      <c r="E13" s="97" t="s">
        <v>85</v>
      </c>
      <c r="F13" s="97" t="s">
        <v>85</v>
      </c>
      <c r="G13" s="97" t="s">
        <v>85</v>
      </c>
      <c r="H13" s="97" t="s">
        <v>85</v>
      </c>
      <c r="I13" s="97" t="s">
        <v>85</v>
      </c>
      <c r="J13" s="33">
        <f t="shared" si="0"/>
        <v>7.4734133930001088</v>
      </c>
      <c r="K13" s="33">
        <f t="shared" si="1"/>
        <v>80.239048080340837</v>
      </c>
      <c r="L13" s="36"/>
    </row>
    <row r="14" spans="2:13" ht="12.95" customHeight="1" outlineLevel="1" x14ac:dyDescent="0.2">
      <c r="B14" s="114" t="s">
        <v>6</v>
      </c>
      <c r="C14" s="32">
        <f>159219236</f>
        <v>159219236</v>
      </c>
      <c r="D14" s="32">
        <f>70033341.06</f>
        <v>70033341.060000002</v>
      </c>
      <c r="E14" s="97" t="s">
        <v>85</v>
      </c>
      <c r="F14" s="97" t="s">
        <v>85</v>
      </c>
      <c r="G14" s="97" t="s">
        <v>85</v>
      </c>
      <c r="H14" s="97" t="s">
        <v>85</v>
      </c>
      <c r="I14" s="97" t="s">
        <v>85</v>
      </c>
      <c r="J14" s="33">
        <f t="shared" si="0"/>
        <v>0.1729705559503428</v>
      </c>
      <c r="K14" s="33">
        <f t="shared" si="1"/>
        <v>43.985477395457416</v>
      </c>
      <c r="L14" s="36"/>
    </row>
    <row r="15" spans="2:13" ht="12.95" customHeight="1" outlineLevel="1" x14ac:dyDescent="0.2">
      <c r="B15" s="111" t="s">
        <v>7</v>
      </c>
      <c r="C15" s="32">
        <f>1371608995.64</f>
        <v>1371608995.6400001</v>
      </c>
      <c r="D15" s="32">
        <f>796935454.48</f>
        <v>796935454.48000002</v>
      </c>
      <c r="E15" s="97" t="s">
        <v>85</v>
      </c>
      <c r="F15" s="97" t="s">
        <v>85</v>
      </c>
      <c r="G15" s="97" t="s">
        <v>85</v>
      </c>
      <c r="H15" s="97" t="s">
        <v>85</v>
      </c>
      <c r="I15" s="97" t="s">
        <v>85</v>
      </c>
      <c r="J15" s="33">
        <f t="shared" si="0"/>
        <v>1.9682963361671826</v>
      </c>
      <c r="K15" s="33">
        <f t="shared" si="1"/>
        <v>58.102232998854433</v>
      </c>
      <c r="L15" s="36"/>
    </row>
    <row r="16" spans="2:13" ht="12.95" customHeight="1" outlineLevel="1" x14ac:dyDescent="0.2">
      <c r="B16" s="114" t="s">
        <v>6</v>
      </c>
      <c r="C16" s="32">
        <f>301095176.22</f>
        <v>301095176.22000003</v>
      </c>
      <c r="D16" s="32">
        <f>85403671.8</f>
        <v>85403671.799999997</v>
      </c>
      <c r="E16" s="97" t="s">
        <v>85</v>
      </c>
      <c r="F16" s="97" t="s">
        <v>85</v>
      </c>
      <c r="G16" s="97" t="s">
        <v>85</v>
      </c>
      <c r="H16" s="97" t="s">
        <v>85</v>
      </c>
      <c r="I16" s="97" t="s">
        <v>85</v>
      </c>
      <c r="J16" s="33">
        <f t="shared" si="0"/>
        <v>0.21093268388824479</v>
      </c>
      <c r="K16" s="33">
        <f t="shared" si="1"/>
        <v>28.364344082881765</v>
      </c>
      <c r="L16" s="36"/>
    </row>
    <row r="17" spans="2:12" ht="33.75" outlineLevel="1" x14ac:dyDescent="0.2">
      <c r="B17" s="111" t="s">
        <v>10</v>
      </c>
      <c r="C17" s="32">
        <f>116562402.1</f>
        <v>116562402.09999999</v>
      </c>
      <c r="D17" s="32">
        <f>97827759.47</f>
        <v>97827759.469999999</v>
      </c>
      <c r="E17" s="97" t="s">
        <v>85</v>
      </c>
      <c r="F17" s="97" t="s">
        <v>85</v>
      </c>
      <c r="G17" s="97" t="s">
        <v>85</v>
      </c>
      <c r="H17" s="97" t="s">
        <v>85</v>
      </c>
      <c r="I17" s="97" t="s">
        <v>85</v>
      </c>
      <c r="J17" s="33">
        <f t="shared" si="0"/>
        <v>0.24161808771061241</v>
      </c>
      <c r="K17" s="33">
        <f t="shared" si="1"/>
        <v>83.927370839589116</v>
      </c>
      <c r="L17" s="36"/>
    </row>
    <row r="18" spans="2:12" ht="12.95" customHeight="1" outlineLevel="1" x14ac:dyDescent="0.2">
      <c r="B18" s="114" t="s">
        <v>6</v>
      </c>
      <c r="C18" s="32">
        <f>6354599.36</f>
        <v>6354599.3600000003</v>
      </c>
      <c r="D18" s="32">
        <f>2414647.49</f>
        <v>2414647.4900000002</v>
      </c>
      <c r="E18" s="97" t="s">
        <v>85</v>
      </c>
      <c r="F18" s="97" t="s">
        <v>85</v>
      </c>
      <c r="G18" s="97" t="s">
        <v>85</v>
      </c>
      <c r="H18" s="97" t="s">
        <v>85</v>
      </c>
      <c r="I18" s="97" t="s">
        <v>85</v>
      </c>
      <c r="J18" s="33">
        <f t="shared" si="0"/>
        <v>5.9637725752877263E-3</v>
      </c>
      <c r="K18" s="33">
        <f t="shared" si="1"/>
        <v>37.998422138134607</v>
      </c>
      <c r="L18" s="36"/>
    </row>
    <row r="19" spans="2:12" ht="25.5" customHeight="1" outlineLevel="1" x14ac:dyDescent="0.2">
      <c r="B19" s="111" t="s">
        <v>11</v>
      </c>
      <c r="C19" s="32">
        <f>517672321.56</f>
        <v>517672321.56</v>
      </c>
      <c r="D19" s="32">
        <f>329882863.15</f>
        <v>329882863.14999998</v>
      </c>
      <c r="E19" s="97" t="s">
        <v>85</v>
      </c>
      <c r="F19" s="97" t="s">
        <v>85</v>
      </c>
      <c r="G19" s="97" t="s">
        <v>85</v>
      </c>
      <c r="H19" s="97" t="s">
        <v>85</v>
      </c>
      <c r="I19" s="97" t="s">
        <v>85</v>
      </c>
      <c r="J19" s="33">
        <f t="shared" si="0"/>
        <v>0.8147551062666144</v>
      </c>
      <c r="K19" s="33">
        <f t="shared" si="1"/>
        <v>63.72426135434506</v>
      </c>
      <c r="L19" s="36"/>
    </row>
    <row r="20" spans="2:12" ht="12.95" customHeight="1" outlineLevel="1" x14ac:dyDescent="0.2">
      <c r="B20" s="114" t="s">
        <v>6</v>
      </c>
      <c r="C20" s="32">
        <f>101067534.07</f>
        <v>101067534.06999999</v>
      </c>
      <c r="D20" s="32">
        <f>30695331.58</f>
        <v>30695331.579999998</v>
      </c>
      <c r="E20" s="97" t="s">
        <v>85</v>
      </c>
      <c r="F20" s="97" t="s">
        <v>85</v>
      </c>
      <c r="G20" s="97" t="s">
        <v>85</v>
      </c>
      <c r="H20" s="97" t="s">
        <v>85</v>
      </c>
      <c r="I20" s="97" t="s">
        <v>85</v>
      </c>
      <c r="J20" s="33">
        <f t="shared" si="0"/>
        <v>7.5812298658205907E-2</v>
      </c>
      <c r="K20" s="33">
        <f t="shared" si="1"/>
        <v>30.371109637185988</v>
      </c>
      <c r="L20" s="36"/>
    </row>
    <row r="21" spans="2:12" ht="35.25" customHeight="1" outlineLevel="1" x14ac:dyDescent="0.2">
      <c r="B21" s="111" t="s">
        <v>60</v>
      </c>
      <c r="C21" s="32">
        <f>1064344680.3</f>
        <v>1064344680.3</v>
      </c>
      <c r="D21" s="32">
        <f>529393790.33</f>
        <v>529393790.32999998</v>
      </c>
      <c r="E21" s="97" t="s">
        <v>85</v>
      </c>
      <c r="F21" s="97" t="s">
        <v>85</v>
      </c>
      <c r="G21" s="97" t="s">
        <v>85</v>
      </c>
      <c r="H21" s="97" t="s">
        <v>85</v>
      </c>
      <c r="I21" s="97" t="s">
        <v>85</v>
      </c>
      <c r="J21" s="33">
        <f t="shared" si="0"/>
        <v>1.3075134906328187</v>
      </c>
      <c r="K21" s="33">
        <f t="shared" si="1"/>
        <v>49.738942668533205</v>
      </c>
      <c r="L21" s="36"/>
    </row>
    <row r="22" spans="2:12" ht="12.95" customHeight="1" outlineLevel="1" x14ac:dyDescent="0.2">
      <c r="B22" s="114" t="s">
        <v>6</v>
      </c>
      <c r="C22" s="32">
        <f>850976027.61</f>
        <v>850976027.61000001</v>
      </c>
      <c r="D22" s="32">
        <f>385935837.07</f>
        <v>385935837.06999999</v>
      </c>
      <c r="E22" s="97" t="s">
        <v>85</v>
      </c>
      <c r="F22" s="97" t="s">
        <v>85</v>
      </c>
      <c r="G22" s="97" t="s">
        <v>85</v>
      </c>
      <c r="H22" s="97" t="s">
        <v>85</v>
      </c>
      <c r="I22" s="97" t="s">
        <v>85</v>
      </c>
      <c r="J22" s="33">
        <f t="shared" si="0"/>
        <v>0.95319651024455665</v>
      </c>
      <c r="K22" s="33">
        <f t="shared" si="1"/>
        <v>45.352139725241862</v>
      </c>
      <c r="L22" s="36"/>
    </row>
    <row r="23" spans="2:12" ht="12.95" customHeight="1" outlineLevel="1" x14ac:dyDescent="0.2">
      <c r="B23" s="111" t="s">
        <v>8</v>
      </c>
      <c r="C23" s="32">
        <f>115851109.94</f>
        <v>115851109.94</v>
      </c>
      <c r="D23" s="32">
        <f>55561324.25</f>
        <v>55561324.25</v>
      </c>
      <c r="E23" s="97" t="s">
        <v>85</v>
      </c>
      <c r="F23" s="97" t="s">
        <v>85</v>
      </c>
      <c r="G23" s="97" t="s">
        <v>85</v>
      </c>
      <c r="H23" s="97" t="s">
        <v>85</v>
      </c>
      <c r="I23" s="97" t="s">
        <v>85</v>
      </c>
      <c r="J23" s="33">
        <f t="shared" si="0"/>
        <v>0.13722711210687688</v>
      </c>
      <c r="K23" s="33">
        <f t="shared" si="1"/>
        <v>47.959250695807363</v>
      </c>
      <c r="L23" s="36"/>
    </row>
    <row r="24" spans="2:12" ht="12.95" customHeight="1" outlineLevel="1" x14ac:dyDescent="0.2">
      <c r="B24" s="114" t="s">
        <v>6</v>
      </c>
      <c r="C24" s="32">
        <f>87976004.82</f>
        <v>87976004.819999993</v>
      </c>
      <c r="D24" s="32">
        <f>31021618.33</f>
        <v>31021618.329999998</v>
      </c>
      <c r="E24" s="97" t="s">
        <v>85</v>
      </c>
      <c r="F24" s="97" t="s">
        <v>85</v>
      </c>
      <c r="G24" s="97" t="s">
        <v>85</v>
      </c>
      <c r="H24" s="97" t="s">
        <v>85</v>
      </c>
      <c r="I24" s="97" t="s">
        <v>85</v>
      </c>
      <c r="J24" s="33">
        <f t="shared" si="0"/>
        <v>7.6618171970723986E-2</v>
      </c>
      <c r="K24" s="33">
        <f t="shared" si="1"/>
        <v>35.261453840135864</v>
      </c>
      <c r="L24" s="36"/>
    </row>
    <row r="25" spans="2:12" ht="67.5" outlineLevel="1" x14ac:dyDescent="0.2">
      <c r="B25" s="111" t="s">
        <v>76</v>
      </c>
      <c r="C25" s="32">
        <f>755025</f>
        <v>755025</v>
      </c>
      <c r="D25" s="32">
        <f>312025</f>
        <v>312025</v>
      </c>
      <c r="E25" s="97" t="s">
        <v>85</v>
      </c>
      <c r="F25" s="97" t="s">
        <v>85</v>
      </c>
      <c r="G25" s="97" t="s">
        <v>85</v>
      </c>
      <c r="H25" s="97" t="s">
        <v>85</v>
      </c>
      <c r="I25" s="97" t="s">
        <v>85</v>
      </c>
      <c r="J25" s="33">
        <f t="shared" si="0"/>
        <v>7.7064919227781475E-4</v>
      </c>
      <c r="K25" s="33">
        <f t="shared" si="1"/>
        <v>41.326446144167413</v>
      </c>
      <c r="L25" s="36"/>
    </row>
    <row r="26" spans="2:12" ht="12.95" customHeight="1" outlineLevel="1" x14ac:dyDescent="0.2">
      <c r="B26" s="114" t="s">
        <v>77</v>
      </c>
      <c r="C26" s="32">
        <f>704000</f>
        <v>704000</v>
      </c>
      <c r="D26" s="32">
        <f>261000</f>
        <v>261000</v>
      </c>
      <c r="E26" s="97" t="s">
        <v>85</v>
      </c>
      <c r="F26" s="97" t="s">
        <v>85</v>
      </c>
      <c r="G26" s="97" t="s">
        <v>85</v>
      </c>
      <c r="H26" s="97" t="s">
        <v>85</v>
      </c>
      <c r="I26" s="97" t="s">
        <v>85</v>
      </c>
      <c r="J26" s="33">
        <f t="shared" si="0"/>
        <v>6.4462603696662012E-4</v>
      </c>
      <c r="K26" s="33">
        <f t="shared" si="1"/>
        <v>37.073863636363633</v>
      </c>
      <c r="L26" s="36"/>
    </row>
    <row r="27" spans="2:12" ht="45" outlineLevel="1" x14ac:dyDescent="0.2">
      <c r="B27" s="112" t="s">
        <v>75</v>
      </c>
      <c r="C27" s="69">
        <f>5657535626.93</f>
        <v>5657535626.9300003</v>
      </c>
      <c r="D27" s="69">
        <f>2327291541.83</f>
        <v>2327291541.8299999</v>
      </c>
      <c r="E27" s="97" t="s">
        <v>85</v>
      </c>
      <c r="F27" s="97" t="s">
        <v>85</v>
      </c>
      <c r="G27" s="97" t="s">
        <v>85</v>
      </c>
      <c r="H27" s="97" t="s">
        <v>85</v>
      </c>
      <c r="I27" s="97" t="s">
        <v>85</v>
      </c>
      <c r="J27" s="70">
        <f t="shared" si="0"/>
        <v>5.7480180976084592</v>
      </c>
      <c r="K27" s="70">
        <f t="shared" si="1"/>
        <v>41.136135860144449</v>
      </c>
      <c r="L27" s="36"/>
    </row>
    <row r="28" spans="2:12" ht="12.95" customHeight="1" outlineLevel="1" x14ac:dyDescent="0.2">
      <c r="B28" s="114" t="s">
        <v>6</v>
      </c>
      <c r="C28" s="32">
        <f>5606219670.7</f>
        <v>5606219670.6999998</v>
      </c>
      <c r="D28" s="32">
        <f>2309490229.05</f>
        <v>2309490229.0500002</v>
      </c>
      <c r="E28" s="97" t="s">
        <v>85</v>
      </c>
      <c r="F28" s="97" t="s">
        <v>85</v>
      </c>
      <c r="G28" s="97" t="s">
        <v>85</v>
      </c>
      <c r="H28" s="97" t="s">
        <v>85</v>
      </c>
      <c r="I28" s="97" t="s">
        <v>85</v>
      </c>
      <c r="J28" s="33">
        <f t="shared" si="0"/>
        <v>5.7040518535081741</v>
      </c>
      <c r="K28" s="33">
        <f t="shared" si="1"/>
        <v>41.195143335538162</v>
      </c>
      <c r="L28" s="36"/>
    </row>
    <row r="29" spans="2:12" ht="22.5" outlineLevel="1" x14ac:dyDescent="0.2">
      <c r="B29" s="112" t="s">
        <v>94</v>
      </c>
      <c r="C29" s="32">
        <f>624530073.48</f>
        <v>624530073.48000002</v>
      </c>
      <c r="D29" s="32">
        <f>545925010.62</f>
        <v>545925010.62</v>
      </c>
      <c r="E29" s="97" t="s">
        <v>85</v>
      </c>
      <c r="F29" s="97" t="s">
        <v>85</v>
      </c>
      <c r="G29" s="97" t="s">
        <v>85</v>
      </c>
      <c r="H29" s="97" t="s">
        <v>85</v>
      </c>
      <c r="I29" s="97" t="s">
        <v>85</v>
      </c>
      <c r="J29" s="33">
        <f t="shared" si="0"/>
        <v>1.3483428202181249</v>
      </c>
      <c r="K29" s="33">
        <f t="shared" si="1"/>
        <v>87.413726544504456</v>
      </c>
      <c r="L29" s="36"/>
    </row>
    <row r="30" spans="2:12" ht="12.95" customHeight="1" outlineLevel="1" x14ac:dyDescent="0.2">
      <c r="B30" s="114" t="s">
        <v>6</v>
      </c>
      <c r="C30" s="32">
        <f>0</f>
        <v>0</v>
      </c>
      <c r="D30" s="32">
        <f>0</f>
        <v>0</v>
      </c>
      <c r="E30" s="97" t="s">
        <v>85</v>
      </c>
      <c r="F30" s="97" t="s">
        <v>85</v>
      </c>
      <c r="G30" s="97" t="s">
        <v>85</v>
      </c>
      <c r="H30" s="97" t="s">
        <v>85</v>
      </c>
      <c r="I30" s="97" t="s">
        <v>85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3" t="s">
        <v>67</v>
      </c>
      <c r="C31" s="30">
        <f>119487262.97</f>
        <v>119487262.97</v>
      </c>
      <c r="D31" s="30">
        <f>80059621.2</f>
        <v>80059621.200000003</v>
      </c>
      <c r="E31" s="97" t="s">
        <v>85</v>
      </c>
      <c r="F31" s="97" t="s">
        <v>85</v>
      </c>
      <c r="G31" s="97" t="s">
        <v>85</v>
      </c>
      <c r="H31" s="97" t="s">
        <v>85</v>
      </c>
      <c r="I31" s="97" t="s">
        <v>85</v>
      </c>
      <c r="J31" s="34">
        <f t="shared" si="0"/>
        <v>0.19773377906208736</v>
      </c>
      <c r="K31" s="34">
        <f t="shared" si="1"/>
        <v>67.002640457251744</v>
      </c>
      <c r="L31" s="21"/>
    </row>
    <row r="32" spans="2:12" ht="12.95" customHeight="1" outlineLevel="1" x14ac:dyDescent="0.2">
      <c r="B32" s="115" t="s">
        <v>53</v>
      </c>
      <c r="C32" s="35">
        <f>49939371.88</f>
        <v>49939371.880000003</v>
      </c>
      <c r="D32" s="35">
        <f>29682306.18</f>
        <v>29682306.18</v>
      </c>
      <c r="E32" s="97" t="s">
        <v>85</v>
      </c>
      <c r="F32" s="97" t="s">
        <v>85</v>
      </c>
      <c r="G32" s="97" t="s">
        <v>85</v>
      </c>
      <c r="H32" s="97" t="s">
        <v>85</v>
      </c>
      <c r="I32" s="97" t="s">
        <v>85</v>
      </c>
      <c r="J32" s="33">
        <f t="shared" si="0"/>
        <v>7.3310296554954857E-2</v>
      </c>
      <c r="K32" s="33">
        <f t="shared" si="1"/>
        <v>59.436683047043559</v>
      </c>
      <c r="L32" s="21"/>
    </row>
    <row r="33" spans="1:26" ht="12.95" customHeight="1" outlineLevel="1" x14ac:dyDescent="0.2">
      <c r="B33" s="113" t="s">
        <v>68</v>
      </c>
      <c r="C33" s="58">
        <f>1515517310.84</f>
        <v>1515517310.8399999</v>
      </c>
      <c r="D33" s="58">
        <f>696251531.59</f>
        <v>696251531.59000003</v>
      </c>
      <c r="E33" s="97" t="s">
        <v>85</v>
      </c>
      <c r="F33" s="97" t="s">
        <v>85</v>
      </c>
      <c r="G33" s="97" t="s">
        <v>85</v>
      </c>
      <c r="H33" s="97" t="s">
        <v>85</v>
      </c>
      <c r="I33" s="97" t="s">
        <v>85</v>
      </c>
      <c r="J33" s="59">
        <f t="shared" si="0"/>
        <v>1.7196240059034529</v>
      </c>
      <c r="K33" s="59">
        <f t="shared" si="1"/>
        <v>45.941509648879652</v>
      </c>
      <c r="L33" s="21"/>
    </row>
    <row r="34" spans="1:26" ht="12.95" customHeight="1" outlineLevel="1" x14ac:dyDescent="0.2">
      <c r="B34" s="115" t="s">
        <v>65</v>
      </c>
      <c r="C34" s="35">
        <f>1066955361.44</f>
        <v>1066955361.4400001</v>
      </c>
      <c r="D34" s="35">
        <f>392975658.46</f>
        <v>392975658.45999998</v>
      </c>
      <c r="E34" s="97" t="s">
        <v>85</v>
      </c>
      <c r="F34" s="97" t="s">
        <v>85</v>
      </c>
      <c r="G34" s="97" t="s">
        <v>85</v>
      </c>
      <c r="H34" s="97" t="s">
        <v>85</v>
      </c>
      <c r="I34" s="97" t="s">
        <v>85</v>
      </c>
      <c r="J34" s="33">
        <f t="shared" si="0"/>
        <v>0.97058368328512579</v>
      </c>
      <c r="K34" s="33">
        <f t="shared" si="1"/>
        <v>36.831499485566702</v>
      </c>
      <c r="L34" s="21"/>
    </row>
    <row r="35" spans="1:26" s="5" customFormat="1" ht="26.85" customHeight="1" x14ac:dyDescent="0.2">
      <c r="B35" s="107" t="s">
        <v>43</v>
      </c>
      <c r="C35" s="30">
        <f>C36+C37+C38+C39+C40</f>
        <v>23093955136.740002</v>
      </c>
      <c r="D35" s="30">
        <f>D36+D37+D38+D39+D40</f>
        <v>18970809443</v>
      </c>
      <c r="E35" s="97" t="s">
        <v>85</v>
      </c>
      <c r="F35" s="97" t="s">
        <v>85</v>
      </c>
      <c r="G35" s="97" t="s">
        <v>85</v>
      </c>
      <c r="H35" s="97" t="s">
        <v>85</v>
      </c>
      <c r="I35" s="97" t="s">
        <v>85</v>
      </c>
      <c r="J35" s="31">
        <f t="shared" si="0"/>
        <v>46.854703867011587</v>
      </c>
      <c r="K35" s="31">
        <f t="shared" si="1"/>
        <v>82.146212420840286</v>
      </c>
      <c r="L35" s="22"/>
    </row>
    <row r="36" spans="1:26" ht="12.95" customHeight="1" outlineLevel="1" x14ac:dyDescent="0.2">
      <c r="B36" s="109" t="s">
        <v>30</v>
      </c>
      <c r="C36" s="32">
        <f>17136889548</f>
        <v>17136889548</v>
      </c>
      <c r="D36" s="32">
        <f>14509037208</f>
        <v>14509037208</v>
      </c>
      <c r="E36" s="97" t="s">
        <v>85</v>
      </c>
      <c r="F36" s="97" t="s">
        <v>85</v>
      </c>
      <c r="G36" s="97" t="s">
        <v>85</v>
      </c>
      <c r="H36" s="97" t="s">
        <v>85</v>
      </c>
      <c r="I36" s="97" t="s">
        <v>85</v>
      </c>
      <c r="J36" s="33">
        <f t="shared" si="0"/>
        <v>35.834877990782658</v>
      </c>
      <c r="K36" s="33">
        <f t="shared" si="1"/>
        <v>84.665523269905833</v>
      </c>
      <c r="L36" s="21"/>
    </row>
    <row r="37" spans="1:26" ht="12.95" customHeight="1" outlineLevel="1" x14ac:dyDescent="0.2">
      <c r="B37" s="109" t="s">
        <v>29</v>
      </c>
      <c r="C37" s="32">
        <f>1132570835</f>
        <v>1132570835</v>
      </c>
      <c r="D37" s="32">
        <f>849428226</f>
        <v>849428226</v>
      </c>
      <c r="E37" s="97" t="s">
        <v>85</v>
      </c>
      <c r="F37" s="97" t="s">
        <v>85</v>
      </c>
      <c r="G37" s="97" t="s">
        <v>85</v>
      </c>
      <c r="H37" s="97" t="s">
        <v>85</v>
      </c>
      <c r="I37" s="97" t="s">
        <v>85</v>
      </c>
      <c r="J37" s="33">
        <f t="shared" si="0"/>
        <v>2.097944639900255</v>
      </c>
      <c r="K37" s="33">
        <f t="shared" si="1"/>
        <v>75.000008807396142</v>
      </c>
      <c r="L37" s="21"/>
    </row>
    <row r="38" spans="1:26" ht="12.95" customHeight="1" outlineLevel="1" x14ac:dyDescent="0.2">
      <c r="B38" s="109" t="s">
        <v>31</v>
      </c>
      <c r="C38" s="32">
        <f>4272721049</f>
        <v>4272721049</v>
      </c>
      <c r="D38" s="32">
        <f>3204540900</f>
        <v>3204540900</v>
      </c>
      <c r="E38" s="97" t="s">
        <v>85</v>
      </c>
      <c r="F38" s="97" t="s">
        <v>85</v>
      </c>
      <c r="G38" s="97" t="s">
        <v>85</v>
      </c>
      <c r="H38" s="97" t="s">
        <v>85</v>
      </c>
      <c r="I38" s="97" t="s">
        <v>85</v>
      </c>
      <c r="J38" s="33">
        <f t="shared" si="0"/>
        <v>7.914676247756498</v>
      </c>
      <c r="K38" s="33">
        <f t="shared" si="1"/>
        <v>75.000002650535777</v>
      </c>
      <c r="L38" s="21"/>
    </row>
    <row r="39" spans="1:26" ht="12.95" customHeight="1" outlineLevel="1" x14ac:dyDescent="0.2">
      <c r="B39" s="109" t="s">
        <v>104</v>
      </c>
      <c r="C39" s="32">
        <f>427074892.74</f>
        <v>427074892.74000001</v>
      </c>
      <c r="D39" s="32">
        <f>325595250</f>
        <v>325595250</v>
      </c>
      <c r="E39" s="97" t="s">
        <v>85</v>
      </c>
      <c r="F39" s="97" t="s">
        <v>85</v>
      </c>
      <c r="G39" s="97" t="s">
        <v>85</v>
      </c>
      <c r="H39" s="97" t="s">
        <v>85</v>
      </c>
      <c r="I39" s="97" t="s">
        <v>85</v>
      </c>
      <c r="J39" s="33">
        <f t="shared" si="0"/>
        <v>0.80416542399485025</v>
      </c>
      <c r="K39" s="33">
        <f>IF(C39=0,"",100*D39/C39)</f>
        <v>76.238443311679276</v>
      </c>
      <c r="L39" s="21"/>
    </row>
    <row r="40" spans="1:26" s="5" customFormat="1" ht="12.95" customHeight="1" outlineLevel="1" x14ac:dyDescent="0.2">
      <c r="B40" s="109" t="s">
        <v>28</v>
      </c>
      <c r="C40" s="32">
        <f>124698812</f>
        <v>124698812</v>
      </c>
      <c r="D40" s="32">
        <f>82207859</f>
        <v>82207859</v>
      </c>
      <c r="E40" s="97" t="s">
        <v>85</v>
      </c>
      <c r="F40" s="97" t="s">
        <v>85</v>
      </c>
      <c r="G40" s="97" t="s">
        <v>85</v>
      </c>
      <c r="H40" s="97" t="s">
        <v>85</v>
      </c>
      <c r="I40" s="97" t="s">
        <v>85</v>
      </c>
      <c r="J40" s="33">
        <f t="shared" si="0"/>
        <v>0.20303956457732067</v>
      </c>
      <c r="K40" s="33">
        <f>IF(C40=0,"",100*D40/C40)</f>
        <v>65.925134074252441</v>
      </c>
      <c r="L40" s="22"/>
    </row>
    <row r="41" spans="1:26" s="5" customFormat="1" ht="12.95" customHeight="1" x14ac:dyDescent="0.2">
      <c r="B41" s="106" t="s">
        <v>5</v>
      </c>
      <c r="C41" s="58">
        <f>+C5</f>
        <v>55834261842.989998</v>
      </c>
      <c r="D41" s="58">
        <f>+D5</f>
        <v>40488591064.080002</v>
      </c>
      <c r="E41" s="97" t="s">
        <v>85</v>
      </c>
      <c r="F41" s="97" t="s">
        <v>85</v>
      </c>
      <c r="G41" s="97" t="s">
        <v>85</v>
      </c>
      <c r="H41" s="97" t="s">
        <v>85</v>
      </c>
      <c r="I41" s="97" t="s">
        <v>85</v>
      </c>
      <c r="J41" s="59">
        <f>IF($D$5=0,"",100*$D41/$D$41)</f>
        <v>100</v>
      </c>
      <c r="K41" s="59">
        <f t="shared" si="1"/>
        <v>72.515673580384856</v>
      </c>
    </row>
    <row r="42" spans="1:26" s="5" customFormat="1" ht="12.95" customHeight="1" x14ac:dyDescent="0.2">
      <c r="B42" s="116" t="s">
        <v>55</v>
      </c>
      <c r="C42" s="32">
        <f>10834056987.05</f>
        <v>10834056987.049999</v>
      </c>
      <c r="D42" s="32">
        <f>4671900904.84</f>
        <v>4671900904.8400002</v>
      </c>
      <c r="E42" s="97" t="s">
        <v>85</v>
      </c>
      <c r="F42" s="97" t="s">
        <v>85</v>
      </c>
      <c r="G42" s="97" t="s">
        <v>85</v>
      </c>
      <c r="H42" s="97" t="s">
        <v>85</v>
      </c>
      <c r="I42" s="97" t="s">
        <v>85</v>
      </c>
      <c r="J42" s="33">
        <f>IF($D$5=0,"",100*$D42/$D$41)</f>
        <v>11.538808296504888</v>
      </c>
      <c r="K42" s="33">
        <f t="shared" si="1"/>
        <v>43.122358599593355</v>
      </c>
    </row>
    <row r="43" spans="1:26" s="5" customFormat="1" ht="12.95" customHeight="1" x14ac:dyDescent="0.2">
      <c r="A43" s="2"/>
      <c r="B43" s="116" t="s">
        <v>56</v>
      </c>
      <c r="C43" s="32">
        <f>C41-C42</f>
        <v>45000204855.940002</v>
      </c>
      <c r="D43" s="32">
        <f>D41-D42</f>
        <v>35816690159.240005</v>
      </c>
      <c r="E43" s="97" t="s">
        <v>85</v>
      </c>
      <c r="F43" s="97" t="s">
        <v>85</v>
      </c>
      <c r="G43" s="97" t="s">
        <v>85</v>
      </c>
      <c r="H43" s="97" t="s">
        <v>85</v>
      </c>
      <c r="I43" s="97" t="s">
        <v>85</v>
      </c>
      <c r="J43" s="33">
        <f>IF($D$5=0,"",100*$D43/$D$41)</f>
        <v>88.461191703495118</v>
      </c>
      <c r="K43" s="33">
        <f t="shared" si="1"/>
        <v>79.592282466047976</v>
      </c>
      <c r="M43" s="15"/>
      <c r="N43" s="15"/>
      <c r="O43" s="9"/>
      <c r="P43" s="9"/>
      <c r="Q43" s="3"/>
    </row>
    <row r="44" spans="1:26" s="5" customFormat="1" ht="12.95" customHeight="1" x14ac:dyDescent="0.2">
      <c r="A44" s="2"/>
      <c r="B44" s="128" t="s">
        <v>95</v>
      </c>
      <c r="C44" s="76"/>
      <c r="D44" s="76"/>
      <c r="E44" s="127"/>
      <c r="F44" s="127"/>
      <c r="G44" s="127"/>
      <c r="H44" s="127"/>
      <c r="I44" s="127"/>
      <c r="J44" s="57"/>
      <c r="K44" s="57"/>
      <c r="M44" s="15"/>
      <c r="N44" s="15"/>
      <c r="O44" s="9"/>
      <c r="P44" s="9"/>
      <c r="Q44" s="3"/>
    </row>
    <row r="45" spans="1:26" ht="20.100000000000001" customHeight="1" x14ac:dyDescent="0.2">
      <c r="B45" s="117" t="str">
        <f>CONCATENATE("Informacja z wykonania budżetów powiatów za ",$D$104," ",$C$105," rok     ",$C$107,"")</f>
        <v xml:space="preserve">Informacja z wykonania budżetów powiatów za III Kwartały 2024 rok     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</row>
    <row r="46" spans="1:26" s="5" customFormat="1" ht="9" customHeight="1" x14ac:dyDescent="0.2">
      <c r="B46" s="6"/>
      <c r="C46" s="7"/>
      <c r="D46" s="8"/>
      <c r="E46" s="8"/>
      <c r="F46" s="4"/>
      <c r="G46" s="4"/>
      <c r="H46" s="4"/>
      <c r="I46" s="4"/>
      <c r="J46" s="4"/>
      <c r="K46" s="9"/>
      <c r="L46" s="9"/>
      <c r="M46" s="3"/>
    </row>
    <row r="47" spans="1:26" ht="29.25" customHeight="1" x14ac:dyDescent="0.2">
      <c r="B47" s="130" t="s">
        <v>0</v>
      </c>
      <c r="C47" s="131" t="s">
        <v>37</v>
      </c>
      <c r="D47" s="131" t="s">
        <v>39</v>
      </c>
      <c r="E47" s="131" t="s">
        <v>38</v>
      </c>
      <c r="F47" s="131" t="s">
        <v>12</v>
      </c>
      <c r="G47" s="131"/>
      <c r="H47" s="131"/>
      <c r="I47" s="132" t="s">
        <v>66</v>
      </c>
      <c r="J47" s="131" t="s">
        <v>2</v>
      </c>
      <c r="K47" s="163" t="s">
        <v>18</v>
      </c>
      <c r="M47" s="10"/>
      <c r="N47" s="73"/>
      <c r="O47" s="77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">
      <c r="B48" s="130"/>
      <c r="C48" s="131"/>
      <c r="D48" s="131"/>
      <c r="E48" s="157"/>
      <c r="F48" s="158" t="s">
        <v>40</v>
      </c>
      <c r="G48" s="156" t="s">
        <v>24</v>
      </c>
      <c r="H48" s="157"/>
      <c r="I48" s="133"/>
      <c r="J48" s="131"/>
      <c r="K48" s="163"/>
      <c r="L48" s="11"/>
      <c r="M48" s="12"/>
      <c r="N48" s="74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57" customHeight="1" x14ac:dyDescent="0.2">
      <c r="B49" s="130"/>
      <c r="C49" s="131"/>
      <c r="D49" s="131"/>
      <c r="E49" s="157"/>
      <c r="F49" s="157"/>
      <c r="G49" s="17" t="s">
        <v>35</v>
      </c>
      <c r="H49" s="17" t="s">
        <v>36</v>
      </c>
      <c r="I49" s="134"/>
      <c r="J49" s="131"/>
      <c r="K49" s="163"/>
      <c r="L49" s="11"/>
      <c r="M49" s="10"/>
      <c r="N49" s="74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3.5" customHeight="1" x14ac:dyDescent="0.2">
      <c r="B50" s="130"/>
      <c r="C50" s="135" t="s">
        <v>59</v>
      </c>
      <c r="D50" s="136"/>
      <c r="E50" s="136"/>
      <c r="F50" s="136"/>
      <c r="G50" s="136"/>
      <c r="H50" s="136"/>
      <c r="I50" s="137"/>
      <c r="J50" s="138" t="s">
        <v>4</v>
      </c>
      <c r="K50" s="138"/>
      <c r="N50" s="10"/>
      <c r="O50" s="78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11.25" customHeight="1" x14ac:dyDescent="0.2">
      <c r="B51" s="16">
        <v>1</v>
      </c>
      <c r="C51" s="18">
        <v>2</v>
      </c>
      <c r="D51" s="18">
        <v>3</v>
      </c>
      <c r="E51" s="18">
        <v>4</v>
      </c>
      <c r="F51" s="16">
        <v>5</v>
      </c>
      <c r="G51" s="16">
        <v>6</v>
      </c>
      <c r="H51" s="18">
        <v>7</v>
      </c>
      <c r="I51" s="18">
        <v>8</v>
      </c>
      <c r="J51" s="16">
        <v>9</v>
      </c>
      <c r="K51" s="18">
        <v>10</v>
      </c>
      <c r="M51" s="10"/>
      <c r="N51" s="10"/>
      <c r="O51" s="76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ht="26.85" customHeight="1" x14ac:dyDescent="0.2">
      <c r="B52" s="103" t="s">
        <v>44</v>
      </c>
      <c r="C52" s="60">
        <f>60073851879.34</f>
        <v>60073851879.339996</v>
      </c>
      <c r="D52" s="72">
        <f>37077319838.68</f>
        <v>37077319838.68</v>
      </c>
      <c r="E52" s="72">
        <f>49974945785.73</f>
        <v>49974945785.730003</v>
      </c>
      <c r="F52" s="60">
        <f>1484611982.69</f>
        <v>1484611982.6900001</v>
      </c>
      <c r="G52" s="60">
        <f>186207.37</f>
        <v>186207.37</v>
      </c>
      <c r="H52" s="60">
        <f>486539.74</f>
        <v>486539.74</v>
      </c>
      <c r="I52" s="80">
        <f>0</f>
        <v>0</v>
      </c>
      <c r="J52" s="50">
        <f>IF($D$52=0,"",100*$D52/$D$52)</f>
        <v>100</v>
      </c>
      <c r="K52" s="50">
        <f>IF(C52=0,"",100*D52/C52)</f>
        <v>61.719564633795798</v>
      </c>
      <c r="O52" s="75"/>
    </row>
    <row r="53" spans="2:26" ht="12.95" customHeight="1" x14ac:dyDescent="0.2">
      <c r="B53" s="19" t="s">
        <v>14</v>
      </c>
      <c r="C53" s="38">
        <f>15466442001.49</f>
        <v>15466442001.49</v>
      </c>
      <c r="D53" s="38">
        <f>5956814409.43</f>
        <v>5956814409.4300003</v>
      </c>
      <c r="E53" s="38">
        <f>11280103009.17</f>
        <v>11280103009.17</v>
      </c>
      <c r="F53" s="38">
        <f>626319788.83</f>
        <v>626319788.83000004</v>
      </c>
      <c r="G53" s="38">
        <f>0</f>
        <v>0</v>
      </c>
      <c r="H53" s="38">
        <f>50900.71</f>
        <v>50900.71</v>
      </c>
      <c r="I53" s="81">
        <f>0</f>
        <v>0</v>
      </c>
      <c r="J53" s="50">
        <f t="shared" ref="J53:J61" si="2">IF($D$52=0,"",100*$D53/$D$52)</f>
        <v>16.06592503273578</v>
      </c>
      <c r="K53" s="50">
        <f t="shared" ref="K53:K61" si="3">IF(C53=0,"",100*D53/C53)</f>
        <v>38.514445719682229</v>
      </c>
      <c r="O53" s="76"/>
    </row>
    <row r="54" spans="2:26" ht="12.95" customHeight="1" outlineLevel="1" x14ac:dyDescent="0.2">
      <c r="B54" s="20" t="s">
        <v>13</v>
      </c>
      <c r="C54" s="35">
        <f>15410350852.37</f>
        <v>15410350852.370001</v>
      </c>
      <c r="D54" s="35">
        <f>5908246242.39</f>
        <v>5908246242.3900003</v>
      </c>
      <c r="E54" s="35">
        <f>11230959842.13</f>
        <v>11230959842.129999</v>
      </c>
      <c r="F54" s="35">
        <f>626319788.83</f>
        <v>626319788.83000004</v>
      </c>
      <c r="G54" s="35">
        <f>0</f>
        <v>0</v>
      </c>
      <c r="H54" s="35">
        <f>50900.71</f>
        <v>50900.71</v>
      </c>
      <c r="I54" s="82">
        <f>0</f>
        <v>0</v>
      </c>
      <c r="J54" s="50">
        <f t="shared" si="2"/>
        <v>15.934933452839187</v>
      </c>
      <c r="K54" s="50">
        <f t="shared" si="3"/>
        <v>38.339466109438739</v>
      </c>
      <c r="O54" s="75"/>
    </row>
    <row r="55" spans="2:26" ht="26.85" customHeight="1" x14ac:dyDescent="0.2">
      <c r="B55" s="19" t="s">
        <v>45</v>
      </c>
      <c r="C55" s="38">
        <f t="shared" ref="C55:I55" si="4">C52-C53</f>
        <v>44607409877.849998</v>
      </c>
      <c r="D55" s="38">
        <f>D52-D53</f>
        <v>31120505429.25</v>
      </c>
      <c r="E55" s="38">
        <f>E52-E53</f>
        <v>38694842776.560005</v>
      </c>
      <c r="F55" s="38">
        <f t="shared" si="4"/>
        <v>858292193.86000001</v>
      </c>
      <c r="G55" s="38">
        <f t="shared" si="4"/>
        <v>186207.37</v>
      </c>
      <c r="H55" s="38">
        <f t="shared" si="4"/>
        <v>435639.02999999997</v>
      </c>
      <c r="I55" s="81">
        <f t="shared" si="4"/>
        <v>0</v>
      </c>
      <c r="J55" s="50">
        <f t="shared" si="2"/>
        <v>83.934074967264223</v>
      </c>
      <c r="K55" s="50">
        <f t="shared" si="3"/>
        <v>69.765327138402228</v>
      </c>
      <c r="O55" s="75"/>
    </row>
    <row r="56" spans="2:26" ht="22.5" outlineLevel="1" x14ac:dyDescent="0.2">
      <c r="B56" s="20" t="s">
        <v>84</v>
      </c>
      <c r="C56" s="35">
        <f>28279616417.7701</f>
        <v>28279616417.7701</v>
      </c>
      <c r="D56" s="35">
        <f>20668374627.25</f>
        <v>20668374627.25</v>
      </c>
      <c r="E56" s="35">
        <f>26310263442.87</f>
        <v>26310263442.869999</v>
      </c>
      <c r="F56" s="35">
        <f>575609679.980001</f>
        <v>575609679.98000097</v>
      </c>
      <c r="G56" s="35">
        <f>1971.94</f>
        <v>1971.94</v>
      </c>
      <c r="H56" s="35">
        <f>-673.17</f>
        <v>-673.17</v>
      </c>
      <c r="I56" s="82">
        <f>0</f>
        <v>0</v>
      </c>
      <c r="J56" s="50">
        <f t="shared" si="2"/>
        <v>55.743982351411027</v>
      </c>
      <c r="K56" s="50">
        <f t="shared" si="3"/>
        <v>73.085767225126105</v>
      </c>
      <c r="O56" s="76"/>
    </row>
    <row r="57" spans="2:26" ht="12.95" customHeight="1" outlineLevel="1" x14ac:dyDescent="0.2">
      <c r="B57" s="23" t="s">
        <v>34</v>
      </c>
      <c r="C57" s="61">
        <f>3682176210.99</f>
        <v>3682176210.9899998</v>
      </c>
      <c r="D57" s="61">
        <f>2697780336.3</f>
        <v>2697780336.3000002</v>
      </c>
      <c r="E57" s="61">
        <f>3122016775.82</f>
        <v>3122016775.8200002</v>
      </c>
      <c r="F57" s="61">
        <f>2030939.51</f>
        <v>2030939.51</v>
      </c>
      <c r="G57" s="61">
        <f>0</f>
        <v>0</v>
      </c>
      <c r="H57" s="61">
        <f>336.59</f>
        <v>336.59</v>
      </c>
      <c r="I57" s="83">
        <f>0</f>
        <v>0</v>
      </c>
      <c r="J57" s="50">
        <f t="shared" si="2"/>
        <v>7.2760931697269218</v>
      </c>
      <c r="K57" s="50">
        <f t="shared" si="3"/>
        <v>73.265921610380175</v>
      </c>
    </row>
    <row r="58" spans="2:26" ht="12.95" customHeight="1" outlineLevel="1" x14ac:dyDescent="0.2">
      <c r="B58" s="23" t="s">
        <v>33</v>
      </c>
      <c r="C58" s="32">
        <f>494856247.62</f>
        <v>494856247.62</v>
      </c>
      <c r="D58" s="32">
        <f>294270611.74</f>
        <v>294270611.74000001</v>
      </c>
      <c r="E58" s="32">
        <f>352165987.37</f>
        <v>352165987.37</v>
      </c>
      <c r="F58" s="32">
        <f>17853590.72</f>
        <v>17853590.719999999</v>
      </c>
      <c r="G58" s="32">
        <f>0</f>
        <v>0</v>
      </c>
      <c r="H58" s="32">
        <f>0</f>
        <v>0</v>
      </c>
      <c r="I58" s="84">
        <f>0</f>
        <v>0</v>
      </c>
      <c r="J58" s="50">
        <f t="shared" si="2"/>
        <v>0.79366743071059154</v>
      </c>
      <c r="K58" s="50">
        <f t="shared" si="3"/>
        <v>59.465877849433625</v>
      </c>
    </row>
    <row r="59" spans="2:26" ht="22.5" customHeight="1" outlineLevel="1" x14ac:dyDescent="0.2">
      <c r="B59" s="23" t="s">
        <v>51</v>
      </c>
      <c r="C59" s="61">
        <f>39886930.19</f>
        <v>39886930.189999998</v>
      </c>
      <c r="D59" s="61">
        <f>2156875</f>
        <v>2156875</v>
      </c>
      <c r="E59" s="61">
        <f>3947434.31</f>
        <v>3947434.31</v>
      </c>
      <c r="F59" s="61">
        <f>150000</f>
        <v>150000</v>
      </c>
      <c r="G59" s="61">
        <f>0</f>
        <v>0</v>
      </c>
      <c r="H59" s="61">
        <f>0</f>
        <v>0</v>
      </c>
      <c r="I59" s="83">
        <f>0</f>
        <v>0</v>
      </c>
      <c r="J59" s="50">
        <f t="shared" si="2"/>
        <v>5.8172354673540708E-3</v>
      </c>
      <c r="K59" s="50">
        <f t="shared" si="3"/>
        <v>5.4074730487550715</v>
      </c>
    </row>
    <row r="60" spans="2:26" ht="12.95" customHeight="1" outlineLevel="1" x14ac:dyDescent="0.2">
      <c r="B60" s="23" t="s">
        <v>52</v>
      </c>
      <c r="C60" s="61">
        <f>1269065970.64</f>
        <v>1269065970.6400001</v>
      </c>
      <c r="D60" s="61">
        <f>876607671.83</f>
        <v>876607671.83000004</v>
      </c>
      <c r="E60" s="61">
        <f>1044290720.23</f>
        <v>1044290720.23</v>
      </c>
      <c r="F60" s="61">
        <f>8779330.95</f>
        <v>8779330.9499999993</v>
      </c>
      <c r="G60" s="61">
        <f>0</f>
        <v>0</v>
      </c>
      <c r="H60" s="61">
        <f>0</f>
        <v>0</v>
      </c>
      <c r="I60" s="85">
        <f>0</f>
        <v>0</v>
      </c>
      <c r="J60" s="50">
        <f t="shared" si="2"/>
        <v>2.3642692504313665</v>
      </c>
      <c r="K60" s="50">
        <f t="shared" si="3"/>
        <v>69.075027785034663</v>
      </c>
    </row>
    <row r="61" spans="2:26" ht="12.95" customHeight="1" outlineLevel="1" x14ac:dyDescent="0.2">
      <c r="B61" s="20" t="s">
        <v>32</v>
      </c>
      <c r="C61" s="35">
        <f t="shared" ref="C61:I61" si="5">C55-C56-C57-C58-C59-C60</f>
        <v>10841808100.639898</v>
      </c>
      <c r="D61" s="35">
        <f>D55-D56-D57-D58-D59-D60</f>
        <v>6581315307.1300001</v>
      </c>
      <c r="E61" s="86">
        <f>E55-E56-E57-E58-E59-E60</f>
        <v>7862158415.9600067</v>
      </c>
      <c r="F61" s="86">
        <f t="shared" si="5"/>
        <v>253868652.69999906</v>
      </c>
      <c r="G61" s="86">
        <f t="shared" si="5"/>
        <v>184235.43</v>
      </c>
      <c r="H61" s="86">
        <f t="shared" si="5"/>
        <v>435975.60999999993</v>
      </c>
      <c r="I61" s="87">
        <f t="shared" si="5"/>
        <v>0</v>
      </c>
      <c r="J61" s="50">
        <f t="shared" si="2"/>
        <v>17.750245529516956</v>
      </c>
      <c r="K61" s="50">
        <f t="shared" si="3"/>
        <v>60.703115624612117</v>
      </c>
    </row>
    <row r="62" spans="2:26" ht="12.95" customHeight="1" x14ac:dyDescent="0.2">
      <c r="B62" s="103" t="s">
        <v>15</v>
      </c>
      <c r="C62" s="64">
        <f>C5-C52</f>
        <v>-4239590036.3499985</v>
      </c>
      <c r="D62" s="64">
        <f>D5-D52</f>
        <v>3411271225.4000015</v>
      </c>
      <c r="E62" s="92"/>
      <c r="F62" s="93"/>
      <c r="G62" s="93"/>
      <c r="H62" s="93"/>
      <c r="I62" s="162"/>
      <c r="J62" s="162"/>
      <c r="K62" s="94"/>
      <c r="L62" s="88"/>
      <c r="M62" s="13"/>
    </row>
    <row r="63" spans="2:26" ht="39" customHeight="1" x14ac:dyDescent="0.2">
      <c r="B63" s="104" t="s">
        <v>93</v>
      </c>
      <c r="C63" s="65">
        <f>C43-C55</f>
        <v>392794978.09000397</v>
      </c>
      <c r="D63" s="65">
        <f>D43-D55</f>
        <v>4696184729.9900055</v>
      </c>
      <c r="E63" s="91"/>
      <c r="F63" s="89"/>
      <c r="G63" s="89"/>
      <c r="H63" s="89"/>
      <c r="I63" s="89"/>
      <c r="J63" s="89"/>
      <c r="K63" s="90"/>
      <c r="L63" s="90"/>
      <c r="M63" s="10"/>
    </row>
    <row r="64" spans="2:26" ht="12" customHeight="1" x14ac:dyDescent="0.2">
      <c r="B64" s="37"/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12" customHeight="1" x14ac:dyDescent="0.2">
      <c r="B65" s="126" t="s">
        <v>96</v>
      </c>
      <c r="C65" s="42"/>
      <c r="D65" s="42"/>
      <c r="E65" s="42"/>
      <c r="F65" s="43"/>
      <c r="G65" s="43"/>
      <c r="H65" s="43"/>
      <c r="I65" s="43"/>
      <c r="J65" s="40"/>
      <c r="K65" s="40"/>
      <c r="L65" s="41"/>
      <c r="M65" s="10"/>
    </row>
    <row r="66" spans="2:13" ht="26.85" customHeight="1" x14ac:dyDescent="0.2">
      <c r="B66" s="124" t="s">
        <v>92</v>
      </c>
      <c r="C66" s="122">
        <f>2027351375.48</f>
        <v>2027351375.48</v>
      </c>
      <c r="D66" s="62">
        <f>639766716.6</f>
        <v>639766716.60000002</v>
      </c>
      <c r="E66" s="62">
        <f>1109026931.98</f>
        <v>1109026931.98</v>
      </c>
      <c r="F66" s="62">
        <f>48913625.97</f>
        <v>48913625.969999999</v>
      </c>
      <c r="G66" s="62">
        <f>0</f>
        <v>0</v>
      </c>
      <c r="H66" s="62">
        <f>0</f>
        <v>0</v>
      </c>
      <c r="I66" s="62">
        <f>0</f>
        <v>0</v>
      </c>
      <c r="J66" s="50">
        <f>IF($D$66=0,"",100*$D66/$D$66)</f>
        <v>100</v>
      </c>
      <c r="K66" s="63">
        <f>IF(C66=0,"",100*D66/C66)</f>
        <v>31.556775225928828</v>
      </c>
      <c r="L66" s="10"/>
    </row>
    <row r="67" spans="2:13" ht="12.95" customHeight="1" x14ac:dyDescent="0.2">
      <c r="B67" s="125" t="s">
        <v>57</v>
      </c>
      <c r="C67" s="123">
        <f>1346080627.04</f>
        <v>1346080627.04</v>
      </c>
      <c r="D67" s="61">
        <f>349894075.11</f>
        <v>349894075.11000001</v>
      </c>
      <c r="E67" s="61">
        <f>751037764.67</f>
        <v>751037764.66999996</v>
      </c>
      <c r="F67" s="61">
        <f>44284166.69</f>
        <v>44284166.689999998</v>
      </c>
      <c r="G67" s="61">
        <f>0</f>
        <v>0</v>
      </c>
      <c r="H67" s="61">
        <f>0</f>
        <v>0</v>
      </c>
      <c r="I67" s="61">
        <f>0</f>
        <v>0</v>
      </c>
      <c r="J67" s="50">
        <f>IF($D$66=0,"",100*$D67/$D$66)</f>
        <v>54.690884353829794</v>
      </c>
      <c r="K67" s="63">
        <f>IF(C67=0,"",100*D67/C67)</f>
        <v>25.993545117680576</v>
      </c>
    </row>
    <row r="68" spans="2:13" ht="12.95" customHeight="1" x14ac:dyDescent="0.2">
      <c r="B68" s="125" t="s">
        <v>58</v>
      </c>
      <c r="C68" s="123">
        <f>C66-C67</f>
        <v>681270748.44000006</v>
      </c>
      <c r="D68" s="61">
        <f t="shared" ref="D68:I68" si="6">D66-D67</f>
        <v>289872641.49000001</v>
      </c>
      <c r="E68" s="61">
        <f t="shared" si="6"/>
        <v>357989167.31000006</v>
      </c>
      <c r="F68" s="61">
        <f t="shared" si="6"/>
        <v>4629459.2800000012</v>
      </c>
      <c r="G68" s="61">
        <f t="shared" si="6"/>
        <v>0</v>
      </c>
      <c r="H68" s="61">
        <f t="shared" si="6"/>
        <v>0</v>
      </c>
      <c r="I68" s="61">
        <f t="shared" si="6"/>
        <v>0</v>
      </c>
      <c r="J68" s="50">
        <f>IF($D$66=0,"",100*$D68/$D$66)</f>
        <v>45.309115646170206</v>
      </c>
      <c r="K68" s="63">
        <f>IF(C68=0,"",100*D68/C68)</f>
        <v>42.548816627421843</v>
      </c>
    </row>
    <row r="69" spans="2:13" ht="20.100000000000001" customHeight="1" x14ac:dyDescent="0.2">
      <c r="B69" s="117" t="str">
        <f>CONCATENATE("Informacja z wykonania budżetów powiatów za ",$D$104," ",$C$105," rok     ",$C$107,"")</f>
        <v xml:space="preserve">Informacja z wykonania budżetów powiatów za III Kwartały 2024 rok     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</row>
    <row r="70" spans="2:13" x14ac:dyDescent="0.2">
      <c r="B70" s="28" t="s">
        <v>16</v>
      </c>
      <c r="C70" s="95" t="s">
        <v>17</v>
      </c>
      <c r="D70" s="71" t="s">
        <v>1</v>
      </c>
      <c r="E70" s="147" t="s">
        <v>85</v>
      </c>
      <c r="F70" s="148"/>
      <c r="G70" s="148"/>
      <c r="H70" s="148"/>
      <c r="I70" s="149"/>
      <c r="J70" s="18" t="s">
        <v>22</v>
      </c>
      <c r="K70" s="18" t="s">
        <v>23</v>
      </c>
    </row>
    <row r="71" spans="2:13" x14ac:dyDescent="0.2">
      <c r="B71" s="28"/>
      <c r="C71" s="158" t="s">
        <v>59</v>
      </c>
      <c r="D71" s="159"/>
      <c r="E71" s="150"/>
      <c r="F71" s="151"/>
      <c r="G71" s="151"/>
      <c r="H71" s="151"/>
      <c r="I71" s="152"/>
      <c r="J71" s="160" t="s">
        <v>4</v>
      </c>
      <c r="K71" s="161"/>
    </row>
    <row r="72" spans="2:13" x14ac:dyDescent="0.2">
      <c r="B72" s="26">
        <v>1</v>
      </c>
      <c r="C72" s="29">
        <v>2</v>
      </c>
      <c r="D72" s="27">
        <v>3</v>
      </c>
      <c r="E72" s="153"/>
      <c r="F72" s="154"/>
      <c r="G72" s="154"/>
      <c r="H72" s="154"/>
      <c r="I72" s="155"/>
      <c r="J72" s="27">
        <v>4</v>
      </c>
      <c r="K72" s="27">
        <v>5</v>
      </c>
    </row>
    <row r="73" spans="2:13" ht="26.85" customHeight="1" x14ac:dyDescent="0.2">
      <c r="B73" s="105" t="s">
        <v>46</v>
      </c>
      <c r="C73" s="44">
        <f>5148750620.8</f>
        <v>5148750620.8000002</v>
      </c>
      <c r="D73" s="72">
        <f>5213978761.97</f>
        <v>5213978761.9700003</v>
      </c>
      <c r="E73" s="102" t="s">
        <v>85</v>
      </c>
      <c r="F73" s="102" t="s">
        <v>85</v>
      </c>
      <c r="G73" s="102" t="s">
        <v>85</v>
      </c>
      <c r="H73" s="102" t="s">
        <v>85</v>
      </c>
      <c r="I73" s="102" t="s">
        <v>85</v>
      </c>
      <c r="J73" s="45">
        <f>IF($D$73=0,"",100*$D73/$D$73)</f>
        <v>100</v>
      </c>
      <c r="K73" s="39">
        <f t="shared" ref="K73:K87" si="7">IF(C73=0,"",100*D73/C73)</f>
        <v>101.26687318874001</v>
      </c>
    </row>
    <row r="74" spans="2:13" ht="25.5" customHeight="1" x14ac:dyDescent="0.2">
      <c r="B74" s="119" t="s">
        <v>69</v>
      </c>
      <c r="C74" s="46">
        <f>1631290682.33</f>
        <v>1631290682.3299999</v>
      </c>
      <c r="D74" s="98">
        <f>279083020.79</f>
        <v>279083020.79000002</v>
      </c>
      <c r="E74" s="102" t="s">
        <v>85</v>
      </c>
      <c r="F74" s="102" t="s">
        <v>85</v>
      </c>
      <c r="G74" s="102" t="s">
        <v>85</v>
      </c>
      <c r="H74" s="102" t="s">
        <v>85</v>
      </c>
      <c r="I74" s="102" t="s">
        <v>85</v>
      </c>
      <c r="J74" s="47">
        <f t="shared" ref="J74:J83" si="8">IF($D$73=0,"",100*$D74/$D$73)</f>
        <v>5.3525922051234813</v>
      </c>
      <c r="K74" s="48">
        <f t="shared" si="7"/>
        <v>17.108111007621343</v>
      </c>
    </row>
    <row r="75" spans="2:13" ht="22.5" x14ac:dyDescent="0.2">
      <c r="B75" s="120" t="s">
        <v>70</v>
      </c>
      <c r="C75" s="66">
        <f>91040000</f>
        <v>91040000</v>
      </c>
      <c r="D75" s="56">
        <f>0</f>
        <v>0</v>
      </c>
      <c r="E75" s="102" t="s">
        <v>85</v>
      </c>
      <c r="F75" s="102" t="s">
        <v>85</v>
      </c>
      <c r="G75" s="102" t="s">
        <v>85</v>
      </c>
      <c r="H75" s="102" t="s">
        <v>85</v>
      </c>
      <c r="I75" s="102" t="s">
        <v>85</v>
      </c>
      <c r="J75" s="67">
        <f t="shared" si="8"/>
        <v>0</v>
      </c>
      <c r="K75" s="68">
        <f t="shared" si="7"/>
        <v>0</v>
      </c>
    </row>
    <row r="76" spans="2:13" ht="12.95" customHeight="1" x14ac:dyDescent="0.2">
      <c r="B76" s="118" t="s">
        <v>71</v>
      </c>
      <c r="C76" s="66">
        <f>59985868.28</f>
        <v>59985868.280000001</v>
      </c>
      <c r="D76" s="56">
        <f>16703386.4</f>
        <v>16703386.4</v>
      </c>
      <c r="E76" s="102" t="s">
        <v>85</v>
      </c>
      <c r="F76" s="102" t="s">
        <v>85</v>
      </c>
      <c r="G76" s="102" t="s">
        <v>85</v>
      </c>
      <c r="H76" s="102" t="s">
        <v>85</v>
      </c>
      <c r="I76" s="102" t="s">
        <v>85</v>
      </c>
      <c r="J76" s="67">
        <f t="shared" si="8"/>
        <v>0.32035777594324055</v>
      </c>
      <c r="K76" s="68">
        <f t="shared" si="7"/>
        <v>27.845535755242384</v>
      </c>
    </row>
    <row r="77" spans="2:13" ht="48.75" customHeight="1" x14ac:dyDescent="0.2">
      <c r="B77" s="118" t="s">
        <v>78</v>
      </c>
      <c r="C77" s="66">
        <f>778033027.56</f>
        <v>778033027.55999994</v>
      </c>
      <c r="D77" s="56">
        <f>1432515713.08</f>
        <v>1432515713.0799999</v>
      </c>
      <c r="E77" s="102" t="s">
        <v>85</v>
      </c>
      <c r="F77" s="102" t="s">
        <v>85</v>
      </c>
      <c r="G77" s="102" t="s">
        <v>85</v>
      </c>
      <c r="H77" s="102" t="s">
        <v>85</v>
      </c>
      <c r="I77" s="102" t="s">
        <v>85</v>
      </c>
      <c r="J77" s="67">
        <f t="shared" si="8"/>
        <v>27.474521444708607</v>
      </c>
      <c r="K77" s="68">
        <f t="shared" si="7"/>
        <v>184.12016743974638</v>
      </c>
    </row>
    <row r="78" spans="2:13" ht="35.25" customHeight="1" x14ac:dyDescent="0.2">
      <c r="B78" s="118" t="s">
        <v>79</v>
      </c>
      <c r="C78" s="66">
        <f>995703136.52</f>
        <v>995703136.51999998</v>
      </c>
      <c r="D78" s="56">
        <f>1086566453.53</f>
        <v>1086566453.53</v>
      </c>
      <c r="E78" s="102" t="s">
        <v>85</v>
      </c>
      <c r="F78" s="102" t="s">
        <v>85</v>
      </c>
      <c r="G78" s="102" t="s">
        <v>85</v>
      </c>
      <c r="H78" s="102" t="s">
        <v>85</v>
      </c>
      <c r="I78" s="102" t="s">
        <v>85</v>
      </c>
      <c r="J78" s="67">
        <f t="shared" si="8"/>
        <v>20.839487522566394</v>
      </c>
      <c r="K78" s="68">
        <f t="shared" si="7"/>
        <v>109.12554291307838</v>
      </c>
    </row>
    <row r="79" spans="2:13" ht="12.95" customHeight="1" x14ac:dyDescent="0.2">
      <c r="B79" s="118" t="s">
        <v>72</v>
      </c>
      <c r="C79" s="66">
        <f>0</f>
        <v>0</v>
      </c>
      <c r="D79" s="56">
        <f>0</f>
        <v>0</v>
      </c>
      <c r="E79" s="102" t="s">
        <v>85</v>
      </c>
      <c r="F79" s="102" t="s">
        <v>85</v>
      </c>
      <c r="G79" s="102" t="s">
        <v>85</v>
      </c>
      <c r="H79" s="102" t="s">
        <v>85</v>
      </c>
      <c r="I79" s="102" t="s">
        <v>85</v>
      </c>
      <c r="J79" s="67">
        <f t="shared" si="8"/>
        <v>0</v>
      </c>
      <c r="K79" s="68" t="str">
        <f t="shared" si="7"/>
        <v/>
      </c>
    </row>
    <row r="80" spans="2:13" ht="33.75" x14ac:dyDescent="0.2">
      <c r="B80" s="118" t="s">
        <v>73</v>
      </c>
      <c r="C80" s="66">
        <f>1611280864.03</f>
        <v>1611280864.03</v>
      </c>
      <c r="D80" s="56">
        <f>2307930293.06</f>
        <v>2307930293.0599999</v>
      </c>
      <c r="E80" s="102" t="s">
        <v>85</v>
      </c>
      <c r="F80" s="102" t="s">
        <v>85</v>
      </c>
      <c r="G80" s="102" t="s">
        <v>85</v>
      </c>
      <c r="H80" s="102" t="s">
        <v>85</v>
      </c>
      <c r="I80" s="102" t="s">
        <v>85</v>
      </c>
      <c r="J80" s="67">
        <f t="shared" si="8"/>
        <v>44.264282583843773</v>
      </c>
      <c r="K80" s="68">
        <f t="shared" si="7"/>
        <v>143.23575390125339</v>
      </c>
    </row>
    <row r="81" spans="2:11" ht="56.25" x14ac:dyDescent="0.2">
      <c r="B81" s="118" t="s">
        <v>101</v>
      </c>
      <c r="C81" s="66">
        <f>0</f>
        <v>0</v>
      </c>
      <c r="D81" s="56">
        <f>18722853.03</f>
        <v>18722853.030000001</v>
      </c>
      <c r="E81" s="102" t="s">
        <v>85</v>
      </c>
      <c r="F81" s="102" t="s">
        <v>85</v>
      </c>
      <c r="G81" s="102" t="s">
        <v>85</v>
      </c>
      <c r="H81" s="102" t="s">
        <v>85</v>
      </c>
      <c r="I81" s="102" t="s">
        <v>85</v>
      </c>
      <c r="J81" s="67">
        <f t="shared" si="8"/>
        <v>0.35908955300243561</v>
      </c>
      <c r="K81" s="68" t="str">
        <f>IF(C81=0,"",100*D81/C81)</f>
        <v/>
      </c>
    </row>
    <row r="82" spans="2:11" x14ac:dyDescent="0.2">
      <c r="B82" s="118" t="s">
        <v>97</v>
      </c>
      <c r="C82" s="66">
        <f>72457042.08</f>
        <v>72457042.079999998</v>
      </c>
      <c r="D82" s="56">
        <f>72457042.08</f>
        <v>72457042.079999998</v>
      </c>
      <c r="E82" s="102" t="s">
        <v>85</v>
      </c>
      <c r="F82" s="102" t="s">
        <v>85</v>
      </c>
      <c r="G82" s="102" t="s">
        <v>85</v>
      </c>
      <c r="H82" s="102" t="s">
        <v>85</v>
      </c>
      <c r="I82" s="102" t="s">
        <v>85</v>
      </c>
      <c r="J82" s="67">
        <f t="shared" si="8"/>
        <v>1.3896689148120642</v>
      </c>
      <c r="K82" s="68">
        <f>IF(C82=0,"",100*D82/C82)</f>
        <v>100</v>
      </c>
    </row>
    <row r="83" spans="2:11" ht="23.25" customHeight="1" x14ac:dyDescent="0.2">
      <c r="B83" s="120" t="s">
        <v>98</v>
      </c>
      <c r="C83" s="66">
        <f>72457042.08</f>
        <v>72457042.079999998</v>
      </c>
      <c r="D83" s="56">
        <f>72457042.08</f>
        <v>72457042.079999998</v>
      </c>
      <c r="E83" s="102" t="s">
        <v>85</v>
      </c>
      <c r="F83" s="102" t="s">
        <v>85</v>
      </c>
      <c r="G83" s="102" t="s">
        <v>85</v>
      </c>
      <c r="H83" s="102" t="s">
        <v>85</v>
      </c>
      <c r="I83" s="102" t="s">
        <v>85</v>
      </c>
      <c r="J83" s="67">
        <f t="shared" si="8"/>
        <v>1.3896689148120642</v>
      </c>
      <c r="K83" s="68">
        <f>IF(C83=0,"",100*D83/C83)</f>
        <v>100</v>
      </c>
    </row>
    <row r="84" spans="2:11" ht="26.85" customHeight="1" x14ac:dyDescent="0.2">
      <c r="B84" s="105" t="s">
        <v>47</v>
      </c>
      <c r="C84" s="51">
        <f>909160584.45</f>
        <v>909160584.45000005</v>
      </c>
      <c r="D84" s="72">
        <f>805171901.07</f>
        <v>805171901.07000005</v>
      </c>
      <c r="E84" s="102" t="s">
        <v>85</v>
      </c>
      <c r="F84" s="102" t="s">
        <v>85</v>
      </c>
      <c r="G84" s="102" t="s">
        <v>85</v>
      </c>
      <c r="H84" s="102" t="s">
        <v>85</v>
      </c>
      <c r="I84" s="102" t="s">
        <v>85</v>
      </c>
      <c r="J84" s="45">
        <f t="shared" ref="J84:J89" si="9">IF($D$84=0,"",100*$D84/$D$84)</f>
        <v>100</v>
      </c>
      <c r="K84" s="39">
        <f t="shared" si="7"/>
        <v>88.562121460323937</v>
      </c>
    </row>
    <row r="85" spans="2:11" ht="33.75" x14ac:dyDescent="0.2">
      <c r="B85" s="119" t="s">
        <v>102</v>
      </c>
      <c r="C85" s="46">
        <f>794575777.32</f>
        <v>794575777.32000005</v>
      </c>
      <c r="D85" s="99">
        <f>493400002.08</f>
        <v>493400002.07999998</v>
      </c>
      <c r="E85" s="102" t="s">
        <v>85</v>
      </c>
      <c r="F85" s="102" t="s">
        <v>85</v>
      </c>
      <c r="G85" s="102" t="s">
        <v>85</v>
      </c>
      <c r="H85" s="102" t="s">
        <v>85</v>
      </c>
      <c r="I85" s="102" t="s">
        <v>85</v>
      </c>
      <c r="J85" s="47">
        <f t="shared" si="9"/>
        <v>61.278840136412654</v>
      </c>
      <c r="K85" s="48">
        <f t="shared" si="7"/>
        <v>62.096028618462739</v>
      </c>
    </row>
    <row r="86" spans="2:11" ht="12.95" customHeight="1" x14ac:dyDescent="0.2">
      <c r="B86" s="120" t="s">
        <v>74</v>
      </c>
      <c r="C86" s="66">
        <f>23790000</f>
        <v>23790000</v>
      </c>
      <c r="D86" s="56">
        <f>1800000</f>
        <v>1800000</v>
      </c>
      <c r="E86" s="102" t="s">
        <v>85</v>
      </c>
      <c r="F86" s="102" t="s">
        <v>85</v>
      </c>
      <c r="G86" s="102" t="s">
        <v>85</v>
      </c>
      <c r="H86" s="102" t="s">
        <v>85</v>
      </c>
      <c r="I86" s="102" t="s">
        <v>85</v>
      </c>
      <c r="J86" s="67">
        <f t="shared" si="9"/>
        <v>0.22355474621108412</v>
      </c>
      <c r="K86" s="68">
        <f t="shared" si="7"/>
        <v>7.5662042875157631</v>
      </c>
    </row>
    <row r="87" spans="2:11" ht="12.95" customHeight="1" x14ac:dyDescent="0.2">
      <c r="B87" s="118" t="s">
        <v>83</v>
      </c>
      <c r="C87" s="66">
        <f>80865791.31</f>
        <v>80865791.310000002</v>
      </c>
      <c r="D87" s="56">
        <f>81221031.79</f>
        <v>81221031.790000007</v>
      </c>
      <c r="E87" s="102" t="s">
        <v>85</v>
      </c>
      <c r="F87" s="102" t="s">
        <v>85</v>
      </c>
      <c r="G87" s="102" t="s">
        <v>85</v>
      </c>
      <c r="H87" s="102" t="s">
        <v>85</v>
      </c>
      <c r="I87" s="102" t="s">
        <v>85</v>
      </c>
      <c r="J87" s="67">
        <f t="shared" si="9"/>
        <v>10.087415082675472</v>
      </c>
      <c r="K87" s="68">
        <f t="shared" si="7"/>
        <v>100.43929636283183</v>
      </c>
    </row>
    <row r="88" spans="2:11" ht="12.95" customHeight="1" x14ac:dyDescent="0.2">
      <c r="B88" s="118" t="s">
        <v>99</v>
      </c>
      <c r="C88" s="66">
        <f>33719015.82</f>
        <v>33719015.82</v>
      </c>
      <c r="D88" s="56">
        <f>230550867.2</f>
        <v>230550867.19999999</v>
      </c>
      <c r="E88" s="102" t="s">
        <v>85</v>
      </c>
      <c r="F88" s="102" t="s">
        <v>85</v>
      </c>
      <c r="G88" s="102" t="s">
        <v>85</v>
      </c>
      <c r="H88" s="102" t="s">
        <v>85</v>
      </c>
      <c r="I88" s="102" t="s">
        <v>85</v>
      </c>
      <c r="J88" s="67">
        <f t="shared" si="9"/>
        <v>28.633744780911869</v>
      </c>
      <c r="K88" s="68">
        <f>IF(C88=0,"",100*D88/C88)</f>
        <v>683.7413892230262</v>
      </c>
    </row>
    <row r="89" spans="2:11" ht="22.5" x14ac:dyDescent="0.2">
      <c r="B89" s="120" t="s">
        <v>100</v>
      </c>
      <c r="C89" s="66">
        <f>24734405.45</f>
        <v>24734405.449999999</v>
      </c>
      <c r="D89" s="56">
        <f>4882130.24</f>
        <v>4882130.24</v>
      </c>
      <c r="E89" s="102" t="s">
        <v>85</v>
      </c>
      <c r="F89" s="102" t="s">
        <v>85</v>
      </c>
      <c r="G89" s="102" t="s">
        <v>85</v>
      </c>
      <c r="H89" s="102" t="s">
        <v>85</v>
      </c>
      <c r="I89" s="102" t="s">
        <v>85</v>
      </c>
      <c r="J89" s="67">
        <f t="shared" si="9"/>
        <v>0.60634632598481064</v>
      </c>
      <c r="K89" s="68">
        <f>IF(C89=0,"",100*D89/C89)</f>
        <v>19.738215458095841</v>
      </c>
    </row>
    <row r="90" spans="2:11" x14ac:dyDescent="0.2">
      <c r="B90" s="25"/>
    </row>
    <row r="91" spans="2:11" x14ac:dyDescent="0.2">
      <c r="B91" s="52" t="s">
        <v>16</v>
      </c>
      <c r="C91" s="79" t="s">
        <v>17</v>
      </c>
      <c r="D91" s="18" t="s">
        <v>1</v>
      </c>
    </row>
    <row r="92" spans="2:11" x14ac:dyDescent="0.2">
      <c r="B92" s="52"/>
      <c r="C92" s="131" t="s">
        <v>59</v>
      </c>
      <c r="D92" s="131"/>
    </row>
    <row r="93" spans="2:11" x14ac:dyDescent="0.2">
      <c r="B93" s="26">
        <v>1</v>
      </c>
      <c r="C93" s="27">
        <v>2</v>
      </c>
      <c r="D93" s="27">
        <v>3</v>
      </c>
    </row>
    <row r="94" spans="2:11" ht="36" customHeight="1" x14ac:dyDescent="0.2">
      <c r="B94" s="53" t="s">
        <v>103</v>
      </c>
      <c r="C94" s="49">
        <f>4261182916.7</f>
        <v>4261182916.6999998</v>
      </c>
      <c r="D94" s="96">
        <f>0</f>
        <v>0</v>
      </c>
    </row>
    <row r="95" spans="2:11" ht="35.25" customHeight="1" x14ac:dyDescent="0.2">
      <c r="B95" s="121" t="s">
        <v>61</v>
      </c>
      <c r="C95" s="66">
        <f>81840000</f>
        <v>81840000</v>
      </c>
      <c r="D95" s="56">
        <f>0</f>
        <v>0</v>
      </c>
    </row>
    <row r="96" spans="2:11" ht="12.95" customHeight="1" x14ac:dyDescent="0.2">
      <c r="B96" s="121" t="s">
        <v>62</v>
      </c>
      <c r="C96" s="66">
        <f>1190658561.3</f>
        <v>1190658561.3</v>
      </c>
      <c r="D96" s="56">
        <f>0</f>
        <v>0</v>
      </c>
    </row>
    <row r="97" spans="2:4" ht="24" customHeight="1" x14ac:dyDescent="0.2">
      <c r="B97" s="121" t="s">
        <v>63</v>
      </c>
      <c r="C97" s="66">
        <f>0</f>
        <v>0</v>
      </c>
      <c r="D97" s="56">
        <f>0</f>
        <v>0</v>
      </c>
    </row>
    <row r="98" spans="2:4" ht="57.75" customHeight="1" x14ac:dyDescent="0.2">
      <c r="B98" s="121" t="s">
        <v>80</v>
      </c>
      <c r="C98" s="66">
        <f>704159866.95</f>
        <v>704159866.95000005</v>
      </c>
      <c r="D98" s="56">
        <f>0</f>
        <v>0</v>
      </c>
    </row>
    <row r="99" spans="2:4" ht="81" customHeight="1" x14ac:dyDescent="0.2">
      <c r="B99" s="121" t="s">
        <v>64</v>
      </c>
      <c r="C99" s="66">
        <f>1260232075.95</f>
        <v>1260232075.95</v>
      </c>
      <c r="D99" s="56">
        <f>0</f>
        <v>0</v>
      </c>
    </row>
    <row r="100" spans="2:4" ht="149.25" customHeight="1" x14ac:dyDescent="0.2">
      <c r="B100" s="121" t="s">
        <v>81</v>
      </c>
      <c r="C100" s="66">
        <f>962236858.54</f>
        <v>962236858.53999996</v>
      </c>
      <c r="D100" s="56">
        <f>0</f>
        <v>0</v>
      </c>
    </row>
    <row r="101" spans="2:4" ht="25.5" customHeight="1" x14ac:dyDescent="0.2">
      <c r="B101" s="121" t="s">
        <v>82</v>
      </c>
      <c r="C101" s="66">
        <f>18888077.88</f>
        <v>18888077.879999999</v>
      </c>
      <c r="D101" s="56">
        <f>0</f>
        <v>0</v>
      </c>
    </row>
    <row r="102" spans="2:4" ht="25.5" customHeight="1" x14ac:dyDescent="0.2">
      <c r="B102" s="129" t="s">
        <v>98</v>
      </c>
      <c r="C102" s="66">
        <f>43167476.08</f>
        <v>43167476.079999998</v>
      </c>
      <c r="D102" s="56">
        <f>0</f>
        <v>0</v>
      </c>
    </row>
    <row r="104" spans="2:4" ht="10.5" customHeight="1" x14ac:dyDescent="0.2">
      <c r="B104" s="24" t="s">
        <v>48</v>
      </c>
      <c r="C104" s="24">
        <f>3</f>
        <v>3</v>
      </c>
      <c r="D104" s="24" t="str">
        <f>IF(C104=1,"I Kwartał",IF(C104=2,"II Kwartały",IF(C104=3,"III Kwartały",IF(C104=4,"IV Kwartały",IF(C104="M1","Styczeń",IF(C104="M11","Listopad",IF(C104="M12","Grudzień","-")))))))</f>
        <v>III Kwartały</v>
      </c>
    </row>
    <row r="105" spans="2:4" ht="10.5" customHeight="1" x14ac:dyDescent="0.2">
      <c r="B105" s="24" t="s">
        <v>49</v>
      </c>
      <c r="C105" s="100">
        <f>2024</f>
        <v>2024</v>
      </c>
      <c r="D105" s="25"/>
    </row>
    <row r="106" spans="2:4" ht="12" customHeight="1" x14ac:dyDescent="0.2">
      <c r="B106" s="24" t="s">
        <v>50</v>
      </c>
      <c r="C106" s="145" t="str">
        <f>"Nov 14 2024 12:00AM"</f>
        <v>Nov 14 2024 12:00AM</v>
      </c>
      <c r="D106" s="146"/>
    </row>
    <row r="107" spans="2:4" ht="9.75" hidden="1" customHeight="1" x14ac:dyDescent="0.2">
      <c r="B107" s="24" t="s">
        <v>54</v>
      </c>
      <c r="C107" s="101" t="str">
        <f>""</f>
        <v/>
      </c>
      <c r="D107" s="25"/>
    </row>
  </sheetData>
  <mergeCells count="22">
    <mergeCell ref="J71:K71"/>
    <mergeCell ref="D47:D49"/>
    <mergeCell ref="E47:E49"/>
    <mergeCell ref="F48:F49"/>
    <mergeCell ref="I62:J62"/>
    <mergeCell ref="K47:K49"/>
    <mergeCell ref="C106:D106"/>
    <mergeCell ref="E70:I72"/>
    <mergeCell ref="F47:H47"/>
    <mergeCell ref="G48:H48"/>
    <mergeCell ref="C71:D71"/>
    <mergeCell ref="C92:D92"/>
    <mergeCell ref="J47:J49"/>
    <mergeCell ref="J50:K50"/>
    <mergeCell ref="C3:D3"/>
    <mergeCell ref="J3:L3"/>
    <mergeCell ref="E3:I4"/>
    <mergeCell ref="B2:B3"/>
    <mergeCell ref="C47:C49"/>
    <mergeCell ref="B47:B50"/>
    <mergeCell ref="I47:I49"/>
    <mergeCell ref="C50:I50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4" max="16383" man="1"/>
    <brk id="68" max="16383" man="1"/>
    <brk id="9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2024-12-09T09:13:48Z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