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32D5F611-02FF-4AFE-B508-6A7F62EAEC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4" l="1"/>
  <c r="C107" i="4"/>
  <c r="C106" i="4"/>
  <c r="C105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K84" i="4" s="1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I67" i="4"/>
  <c r="H67" i="4"/>
  <c r="G67" i="4"/>
  <c r="G68" i="4" s="1"/>
  <c r="F67" i="4"/>
  <c r="E67" i="4"/>
  <c r="D67" i="4"/>
  <c r="C67" i="4"/>
  <c r="I66" i="4"/>
  <c r="H66" i="4"/>
  <c r="G66" i="4"/>
  <c r="F66" i="4"/>
  <c r="E66" i="4"/>
  <c r="D66" i="4"/>
  <c r="C66" i="4"/>
  <c r="I60" i="4"/>
  <c r="H60" i="4"/>
  <c r="G60" i="4"/>
  <c r="G61" i="4" s="1"/>
  <c r="F60" i="4"/>
  <c r="F61" i="4" s="1"/>
  <c r="E60" i="4"/>
  <c r="D60" i="4"/>
  <c r="C60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D42" i="4"/>
  <c r="C42" i="4"/>
  <c r="C43" i="4" s="1"/>
  <c r="D40" i="4"/>
  <c r="C40" i="4"/>
  <c r="D39" i="4"/>
  <c r="C39" i="4"/>
  <c r="D38" i="4"/>
  <c r="C38" i="4"/>
  <c r="D37" i="4"/>
  <c r="C37" i="4"/>
  <c r="D36" i="4"/>
  <c r="C36" i="4"/>
  <c r="D34" i="4"/>
  <c r="K34" i="4" s="1"/>
  <c r="C34" i="4"/>
  <c r="D33" i="4"/>
  <c r="C33" i="4"/>
  <c r="D32" i="4"/>
  <c r="C32" i="4"/>
  <c r="D31" i="4"/>
  <c r="C31" i="4"/>
  <c r="D30" i="4"/>
  <c r="C30" i="4"/>
  <c r="K30" i="4" s="1"/>
  <c r="D29" i="4"/>
  <c r="C29" i="4"/>
  <c r="K29" i="4" s="1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K18" i="4" s="1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K7" i="4" s="1"/>
  <c r="D5" i="4"/>
  <c r="J32" i="4" s="1"/>
  <c r="C5" i="4"/>
  <c r="D105" i="4"/>
  <c r="B45" i="4" s="1"/>
  <c r="K37" i="4"/>
  <c r="E55" i="4"/>
  <c r="E61" i="4"/>
  <c r="K54" i="4"/>
  <c r="I68" i="4"/>
  <c r="K76" i="4"/>
  <c r="K9" i="4"/>
  <c r="K82" i="4"/>
  <c r="K88" i="4"/>
  <c r="K24" i="4"/>
  <c r="F55" i="4"/>
  <c r="K67" i="4"/>
  <c r="K13" i="4"/>
  <c r="K19" i="4"/>
  <c r="K25" i="4"/>
  <c r="K31" i="4"/>
  <c r="K38" i="4"/>
  <c r="G55" i="4"/>
  <c r="K57" i="4"/>
  <c r="K77" i="4"/>
  <c r="K83" i="4"/>
  <c r="K89" i="4"/>
  <c r="D12" i="4"/>
  <c r="D11" i="4" s="1"/>
  <c r="J11" i="4" s="1"/>
  <c r="H55" i="4"/>
  <c r="H61" i="4" s="1"/>
  <c r="K14" i="4"/>
  <c r="K79" i="4"/>
  <c r="K16" i="4"/>
  <c r="K22" i="4"/>
  <c r="E68" i="4"/>
  <c r="K74" i="4"/>
  <c r="K80" i="4"/>
  <c r="K86" i="4"/>
  <c r="K32" i="4"/>
  <c r="I55" i="4"/>
  <c r="I61" i="4" s="1"/>
  <c r="K15" i="4"/>
  <c r="K33" i="4"/>
  <c r="K66" i="4"/>
  <c r="C68" i="4"/>
  <c r="K68" i="4"/>
  <c r="J17" i="4"/>
  <c r="J8" i="4"/>
  <c r="K56" i="4"/>
  <c r="J66" i="4"/>
  <c r="J67" i="4"/>
  <c r="D68" i="4"/>
  <c r="J68" i="4"/>
  <c r="J85" i="4"/>
  <c r="J90" i="4"/>
  <c r="J87" i="4"/>
  <c r="J89" i="4"/>
  <c r="J88" i="4"/>
  <c r="J86" i="4"/>
  <c r="K28" i="4"/>
  <c r="K58" i="4"/>
  <c r="F68" i="4"/>
  <c r="J81" i="4"/>
  <c r="J79" i="4"/>
  <c r="J83" i="4"/>
  <c r="J75" i="4"/>
  <c r="J80" i="4"/>
  <c r="J82" i="4"/>
  <c r="J76" i="4"/>
  <c r="J74" i="4"/>
  <c r="J84" i="4"/>
  <c r="J78" i="4"/>
  <c r="J77" i="4"/>
  <c r="K39" i="4"/>
  <c r="K27" i="4"/>
  <c r="K85" i="4"/>
  <c r="K17" i="4"/>
  <c r="K75" i="4"/>
  <c r="K81" i="4"/>
  <c r="K87" i="4"/>
  <c r="K20" i="4"/>
  <c r="K26" i="4"/>
  <c r="K59" i="4"/>
  <c r="K78" i="4"/>
  <c r="K90" i="4"/>
  <c r="K53" i="4"/>
  <c r="C62" i="4"/>
  <c r="C41" i="4"/>
  <c r="K21" i="4"/>
  <c r="K40" i="4"/>
  <c r="K8" i="4"/>
  <c r="K23" i="4"/>
  <c r="C35" i="4"/>
  <c r="K36" i="4"/>
  <c r="C55" i="4"/>
  <c r="C61" i="4" s="1"/>
  <c r="K52" i="4"/>
  <c r="D35" i="4"/>
  <c r="K35" i="4" s="1"/>
  <c r="J52" i="4"/>
  <c r="J56" i="4"/>
  <c r="J54" i="4"/>
  <c r="J58" i="4"/>
  <c r="J53" i="4"/>
  <c r="J60" i="4"/>
  <c r="J57" i="4"/>
  <c r="J59" i="4"/>
  <c r="D55" i="4"/>
  <c r="J55" i="4" s="1"/>
  <c r="D61" i="4"/>
  <c r="J61" i="4" s="1"/>
  <c r="K60" i="4"/>
  <c r="H68" i="4"/>
  <c r="B69" i="4" l="1"/>
  <c r="B1" i="4"/>
  <c r="K55" i="4"/>
  <c r="C63" i="4"/>
  <c r="K61" i="4"/>
  <c r="K42" i="4"/>
  <c r="C12" i="4"/>
  <c r="C11" i="4" s="1"/>
  <c r="K11" i="4"/>
  <c r="C6" i="4"/>
  <c r="C10" i="4" s="1"/>
  <c r="K12" i="4"/>
  <c r="J22" i="4"/>
  <c r="J24" i="4"/>
  <c r="D41" i="4"/>
  <c r="J26" i="4"/>
  <c r="D62" i="4"/>
  <c r="J23" i="4"/>
  <c r="J36" i="4"/>
  <c r="J28" i="4"/>
  <c r="J5" i="4"/>
  <c r="J39" i="4"/>
  <c r="J35" i="4"/>
  <c r="J15" i="4"/>
  <c r="J19" i="4"/>
  <c r="J12" i="4"/>
  <c r="J33" i="4"/>
  <c r="D6" i="4"/>
  <c r="J29" i="4"/>
  <c r="J31" i="4"/>
  <c r="J25" i="4"/>
  <c r="J38" i="4"/>
  <c r="J7" i="4"/>
  <c r="J13" i="4"/>
  <c r="J14" i="4"/>
  <c r="J9" i="4"/>
  <c r="J40" i="4"/>
  <c r="J20" i="4"/>
  <c r="K5" i="4"/>
  <c r="J34" i="4"/>
  <c r="J41" i="4"/>
  <c r="J27" i="4"/>
  <c r="J37" i="4"/>
  <c r="J21" i="4"/>
  <c r="J18" i="4"/>
  <c r="J30" i="4"/>
  <c r="J16" i="4"/>
  <c r="L8" i="4" l="1"/>
  <c r="L9" i="4"/>
  <c r="L6" i="4"/>
  <c r="L7" i="4"/>
  <c r="D10" i="4"/>
  <c r="K6" i="4"/>
  <c r="K41" i="4"/>
  <c r="D43" i="4"/>
  <c r="J42" i="4"/>
  <c r="J6" i="4"/>
  <c r="D63" i="4" l="1"/>
  <c r="K43" i="4"/>
  <c r="J43" i="4"/>
  <c r="K10" i="4"/>
  <c r="J10" i="4"/>
  <c r="L10" i="4"/>
</calcChain>
</file>

<file path=xl/sharedStrings.xml><?xml version="1.0" encoding="utf-8"?>
<sst xmlns="http://schemas.openxmlformats.org/spreadsheetml/2006/main" count="406" uniqueCount="106">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</sst>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34" fillId="0" borderId="10" xfId="44" applyFont="1" applyBorder="1" applyAlignment="1">
      <alignment horizontal="left" vertical="center" wrapText="1" inden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8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0" t="str">
        <f>CONCATENATE("Informacja z wykonania budżetów województw za ",$D$105," ",$C$106," rok    ",$C$108,"")</f>
        <v xml:space="preserve">Informacja z wykonania budżetów województw za IV Kwartały 2024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">
      <c r="B2" s="150" t="s">
        <v>0</v>
      </c>
      <c r="C2" s="13" t="s">
        <v>26</v>
      </c>
      <c r="D2" s="13" t="s">
        <v>27</v>
      </c>
      <c r="E2" s="13" t="s">
        <v>88</v>
      </c>
      <c r="F2" s="13" t="s">
        <v>89</v>
      </c>
      <c r="G2" s="13" t="s">
        <v>90</v>
      </c>
      <c r="H2" s="13" t="s">
        <v>91</v>
      </c>
      <c r="I2" s="13" t="s">
        <v>92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50"/>
      <c r="C3" s="142" t="s">
        <v>60</v>
      </c>
      <c r="D3" s="144"/>
      <c r="E3" s="151" t="s">
        <v>86</v>
      </c>
      <c r="F3" s="152"/>
      <c r="G3" s="152"/>
      <c r="H3" s="152"/>
      <c r="I3" s="153"/>
      <c r="J3" s="142" t="s">
        <v>4</v>
      </c>
      <c r="K3" s="143"/>
      <c r="L3" s="144"/>
    </row>
    <row r="4" spans="2:17" ht="9" customHeight="1" x14ac:dyDescent="0.2">
      <c r="B4" s="14">
        <v>1</v>
      </c>
      <c r="C4" s="16">
        <v>2</v>
      </c>
      <c r="D4" s="16">
        <v>3</v>
      </c>
      <c r="E4" s="154"/>
      <c r="F4" s="155"/>
      <c r="G4" s="155"/>
      <c r="H4" s="155"/>
      <c r="I4" s="156"/>
      <c r="J4" s="16">
        <v>4</v>
      </c>
      <c r="K4" s="16">
        <v>5</v>
      </c>
      <c r="L4" s="16">
        <v>6</v>
      </c>
    </row>
    <row r="5" spans="2:17" ht="12.95" customHeight="1" x14ac:dyDescent="0.2">
      <c r="B5" s="98" t="s">
        <v>5</v>
      </c>
      <c r="C5" s="55">
        <f>35982554474.67</f>
        <v>35982554474.669998</v>
      </c>
      <c r="D5" s="55">
        <f>35743168971.79</f>
        <v>35743168971.790001</v>
      </c>
      <c r="E5" s="94" t="s">
        <v>86</v>
      </c>
      <c r="F5" s="94" t="s">
        <v>86</v>
      </c>
      <c r="G5" s="94" t="s">
        <v>86</v>
      </c>
      <c r="H5" s="94" t="s">
        <v>86</v>
      </c>
      <c r="I5" s="94" t="s">
        <v>86</v>
      </c>
      <c r="J5" s="56">
        <f t="shared" ref="J5:J40" si="0">IF($D$5=0,"",100*$D5/$D$5)</f>
        <v>100</v>
      </c>
      <c r="K5" s="56">
        <f t="shared" ref="K5:K43" si="1">IF(C5=0,"",100*D5/C5)</f>
        <v>99.334717875440134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41</v>
      </c>
      <c r="C6" s="22">
        <f>C5-C11-C35</f>
        <v>21743520215.339996</v>
      </c>
      <c r="D6" s="22">
        <f>D5-D11-D35</f>
        <v>22091497550.459999</v>
      </c>
      <c r="E6" s="94" t="s">
        <v>86</v>
      </c>
      <c r="F6" s="94" t="s">
        <v>86</v>
      </c>
      <c r="G6" s="94" t="s">
        <v>86</v>
      </c>
      <c r="H6" s="94" t="s">
        <v>86</v>
      </c>
      <c r="I6" s="94" t="s">
        <v>86</v>
      </c>
      <c r="J6" s="29">
        <f t="shared" si="0"/>
        <v>61.806208531469416</v>
      </c>
      <c r="K6" s="29">
        <f t="shared" si="1"/>
        <v>101.60037257846825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25</v>
      </c>
      <c r="C7" s="20">
        <f>16512781578</f>
        <v>16512781578</v>
      </c>
      <c r="D7" s="20">
        <f>16512781578</f>
        <v>16512781578</v>
      </c>
      <c r="E7" s="110" t="s">
        <v>86</v>
      </c>
      <c r="F7" s="110" t="s">
        <v>86</v>
      </c>
      <c r="G7" s="110" t="s">
        <v>86</v>
      </c>
      <c r="H7" s="110" t="s">
        <v>86</v>
      </c>
      <c r="I7" s="110" t="s">
        <v>86</v>
      </c>
      <c r="J7" s="30">
        <f t="shared" si="0"/>
        <v>46.198426309185329</v>
      </c>
      <c r="K7" s="30">
        <f t="shared" si="1"/>
        <v>100</v>
      </c>
      <c r="L7" s="30">
        <f>IF($D$6=0,"",100*$D7/$D$6)</f>
        <v>74.747225896671566</v>
      </c>
      <c r="M7" s="34"/>
      <c r="N7" s="34"/>
      <c r="O7" s="34"/>
      <c r="P7" s="34"/>
      <c r="Q7" s="34"/>
    </row>
    <row r="8" spans="2:17" ht="22.5" outlineLevel="1" x14ac:dyDescent="0.2">
      <c r="B8" s="60" t="s">
        <v>19</v>
      </c>
      <c r="C8" s="21">
        <f>2554019962</f>
        <v>2554019962</v>
      </c>
      <c r="D8" s="21">
        <f>2563725804</f>
        <v>2563725804</v>
      </c>
      <c r="E8" s="110" t="s">
        <v>86</v>
      </c>
      <c r="F8" s="110" t="s">
        <v>86</v>
      </c>
      <c r="G8" s="110" t="s">
        <v>86</v>
      </c>
      <c r="H8" s="110" t="s">
        <v>86</v>
      </c>
      <c r="I8" s="110" t="s">
        <v>86</v>
      </c>
      <c r="J8" s="30">
        <f t="shared" si="0"/>
        <v>7.1726315202308983</v>
      </c>
      <c r="K8" s="30">
        <f t="shared" si="1"/>
        <v>100.38002216679621</v>
      </c>
      <c r="L8" s="30">
        <f>IF($D$6=0,"",100*$D8/$D$6)</f>
        <v>11.60503400977729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20</v>
      </c>
      <c r="C9" s="21">
        <f>227905623.99</f>
        <v>227905623.99000001</v>
      </c>
      <c r="D9" s="57">
        <f>291622717.52</f>
        <v>291622717.51999998</v>
      </c>
      <c r="E9" s="110" t="s">
        <v>86</v>
      </c>
      <c r="F9" s="110" t="s">
        <v>86</v>
      </c>
      <c r="G9" s="110" t="s">
        <v>86</v>
      </c>
      <c r="H9" s="110" t="s">
        <v>86</v>
      </c>
      <c r="I9" s="110" t="s">
        <v>86</v>
      </c>
      <c r="J9" s="30">
        <f t="shared" si="0"/>
        <v>0.81588377838059301</v>
      </c>
      <c r="K9" s="30">
        <f t="shared" si="1"/>
        <v>127.95766616658646</v>
      </c>
      <c r="L9" s="30">
        <f>IF($D$6=0,"",100*$D9/$D$6)</f>
        <v>1.3200676724332239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21</v>
      </c>
      <c r="C10" s="21">
        <f>C6-C7-C8-C9</f>
        <v>2448813051.3499966</v>
      </c>
      <c r="D10" s="21">
        <f>D6-D7-D8-D9</f>
        <v>2723367450.9399991</v>
      </c>
      <c r="E10" s="110" t="s">
        <v>86</v>
      </c>
      <c r="F10" s="110" t="s">
        <v>86</v>
      </c>
      <c r="G10" s="110" t="s">
        <v>86</v>
      </c>
      <c r="H10" s="110" t="s">
        <v>86</v>
      </c>
      <c r="I10" s="110" t="s">
        <v>86</v>
      </c>
      <c r="J10" s="30">
        <f t="shared" si="0"/>
        <v>7.6192669236725878</v>
      </c>
      <c r="K10" s="30">
        <f t="shared" si="1"/>
        <v>111.21173375969408</v>
      </c>
      <c r="L10" s="30">
        <f>IF($D$6=0,"",100*$D10/$D$6)</f>
        <v>12.327672421117924</v>
      </c>
      <c r="M10" s="34"/>
      <c r="N10" s="34"/>
      <c r="O10" s="34"/>
      <c r="P10" s="34"/>
      <c r="Q10" s="34"/>
    </row>
    <row r="11" spans="2:17" ht="27" customHeight="1" x14ac:dyDescent="0.2">
      <c r="B11" s="96" t="s">
        <v>87</v>
      </c>
      <c r="C11" s="55">
        <f>C12+C31+C33</f>
        <v>7894379603.3299999</v>
      </c>
      <c r="D11" s="55">
        <f>D12+D31+D33</f>
        <v>7307009279.3299999</v>
      </c>
      <c r="E11" s="94" t="s">
        <v>86</v>
      </c>
      <c r="F11" s="94" t="s">
        <v>86</v>
      </c>
      <c r="G11" s="94" t="s">
        <v>86</v>
      </c>
      <c r="H11" s="94" t="s">
        <v>86</v>
      </c>
      <c r="I11" s="94" t="s">
        <v>86</v>
      </c>
      <c r="J11" s="56">
        <f t="shared" si="0"/>
        <v>20.443093014771566</v>
      </c>
      <c r="K11" s="56">
        <f t="shared" si="1"/>
        <v>92.559639217852705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2" t="s">
        <v>42</v>
      </c>
      <c r="C12" s="55">
        <f>C13+C15+C17+C19+C21+C23+C25+C27+C29</f>
        <v>3410860169.5099998</v>
      </c>
      <c r="D12" s="55">
        <f>D13+D15+D17+D19+D21+D23+D25+D27+D29</f>
        <v>3211775237.2499995</v>
      </c>
      <c r="E12" s="94" t="s">
        <v>86</v>
      </c>
      <c r="F12" s="94" t="s">
        <v>86</v>
      </c>
      <c r="G12" s="94" t="s">
        <v>86</v>
      </c>
      <c r="H12" s="94" t="s">
        <v>86</v>
      </c>
      <c r="I12" s="94" t="s">
        <v>86</v>
      </c>
      <c r="J12" s="56">
        <f t="shared" si="0"/>
        <v>8.9857036453171411</v>
      </c>
      <c r="K12" s="56">
        <f t="shared" si="1"/>
        <v>94.163204518331199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3" t="s">
        <v>9</v>
      </c>
      <c r="C13" s="21">
        <f>2046790213.77</f>
        <v>2046790213.77</v>
      </c>
      <c r="D13" s="21">
        <f>1985558581.76</f>
        <v>1985558581.76</v>
      </c>
      <c r="E13" s="110" t="s">
        <v>86</v>
      </c>
      <c r="F13" s="110" t="s">
        <v>86</v>
      </c>
      <c r="G13" s="110" t="s">
        <v>86</v>
      </c>
      <c r="H13" s="110" t="s">
        <v>86</v>
      </c>
      <c r="I13" s="110" t="s">
        <v>86</v>
      </c>
      <c r="J13" s="30">
        <f t="shared" si="0"/>
        <v>5.5550714692563652</v>
      </c>
      <c r="K13" s="30">
        <f t="shared" si="1"/>
        <v>97.008407036634352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3" t="s">
        <v>6</v>
      </c>
      <c r="C14" s="21">
        <f>1765465</f>
        <v>1765465</v>
      </c>
      <c r="D14" s="21">
        <f>1754041.88</f>
        <v>1754041.88</v>
      </c>
      <c r="E14" s="110" t="s">
        <v>86</v>
      </c>
      <c r="F14" s="110" t="s">
        <v>86</v>
      </c>
      <c r="G14" s="110" t="s">
        <v>86</v>
      </c>
      <c r="H14" s="110" t="s">
        <v>86</v>
      </c>
      <c r="I14" s="110" t="s">
        <v>86</v>
      </c>
      <c r="J14" s="30">
        <f t="shared" si="0"/>
        <v>4.9073485380783195E-3</v>
      </c>
      <c r="K14" s="30">
        <f t="shared" si="1"/>
        <v>99.352968198180079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3" t="s">
        <v>7</v>
      </c>
      <c r="C15" s="21">
        <f>123507838.5</f>
        <v>123507838.5</v>
      </c>
      <c r="D15" s="21">
        <f>121850563.2</f>
        <v>121850563.2</v>
      </c>
      <c r="E15" s="110" t="s">
        <v>86</v>
      </c>
      <c r="F15" s="110" t="s">
        <v>86</v>
      </c>
      <c r="G15" s="110" t="s">
        <v>86</v>
      </c>
      <c r="H15" s="110" t="s">
        <v>86</v>
      </c>
      <c r="I15" s="110" t="s">
        <v>86</v>
      </c>
      <c r="J15" s="30">
        <f t="shared" si="0"/>
        <v>0.34090587573857689</v>
      </c>
      <c r="K15" s="30">
        <f t="shared" si="1"/>
        <v>98.658161846140644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3" t="s">
        <v>6</v>
      </c>
      <c r="C16" s="21">
        <f>89588700.8</f>
        <v>89588700.799999997</v>
      </c>
      <c r="D16" s="21">
        <f>89068067.03</f>
        <v>89068067.030000001</v>
      </c>
      <c r="E16" s="110" t="s">
        <v>86</v>
      </c>
      <c r="F16" s="110" t="s">
        <v>86</v>
      </c>
      <c r="G16" s="110" t="s">
        <v>86</v>
      </c>
      <c r="H16" s="110" t="s">
        <v>86</v>
      </c>
      <c r="I16" s="110" t="s">
        <v>86</v>
      </c>
      <c r="J16" s="30">
        <f t="shared" si="0"/>
        <v>0.24918906071338059</v>
      </c>
      <c r="K16" s="30">
        <f t="shared" si="1"/>
        <v>99.418862238930913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3" t="s">
        <v>10</v>
      </c>
      <c r="C17" s="21">
        <f>41119564.23</f>
        <v>41119564.229999997</v>
      </c>
      <c r="D17" s="21">
        <f>39223235.38</f>
        <v>39223235.380000003</v>
      </c>
      <c r="E17" s="110" t="s">
        <v>86</v>
      </c>
      <c r="F17" s="110" t="s">
        <v>86</v>
      </c>
      <c r="G17" s="110" t="s">
        <v>86</v>
      </c>
      <c r="H17" s="110" t="s">
        <v>86</v>
      </c>
      <c r="I17" s="110" t="s">
        <v>86</v>
      </c>
      <c r="J17" s="30">
        <f t="shared" si="0"/>
        <v>0.1097363118836962</v>
      </c>
      <c r="K17" s="30">
        <f t="shared" si="1"/>
        <v>95.388256452833545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3" t="s">
        <v>6</v>
      </c>
      <c r="C18" s="21">
        <f>281493</f>
        <v>281493</v>
      </c>
      <c r="D18" s="21">
        <f>268988</f>
        <v>268988</v>
      </c>
      <c r="E18" s="110" t="s">
        <v>86</v>
      </c>
      <c r="F18" s="110" t="s">
        <v>86</v>
      </c>
      <c r="G18" s="110" t="s">
        <v>86</v>
      </c>
      <c r="H18" s="110" t="s">
        <v>86</v>
      </c>
      <c r="I18" s="110" t="s">
        <v>86</v>
      </c>
      <c r="J18" s="30">
        <f t="shared" si="0"/>
        <v>7.5255778303344207E-4</v>
      </c>
      <c r="K18" s="30">
        <f t="shared" si="1"/>
        <v>95.557615997555885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3" t="s">
        <v>11</v>
      </c>
      <c r="C19" s="21">
        <f>60506652.53</f>
        <v>60506652.530000001</v>
      </c>
      <c r="D19" s="21">
        <f>59453204.54</f>
        <v>59453204.539999999</v>
      </c>
      <c r="E19" s="110" t="s">
        <v>86</v>
      </c>
      <c r="F19" s="110" t="s">
        <v>86</v>
      </c>
      <c r="G19" s="110" t="s">
        <v>86</v>
      </c>
      <c r="H19" s="110" t="s">
        <v>86</v>
      </c>
      <c r="I19" s="110" t="s">
        <v>86</v>
      </c>
      <c r="J19" s="30">
        <f t="shared" si="0"/>
        <v>0.16633445284866305</v>
      </c>
      <c r="K19" s="30">
        <f t="shared" si="1"/>
        <v>98.258955096751237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3" t="s">
        <v>6</v>
      </c>
      <c r="C20" s="21">
        <f>2686730</f>
        <v>2686730</v>
      </c>
      <c r="D20" s="21">
        <f>2254428.44</f>
        <v>2254428.44</v>
      </c>
      <c r="E20" s="110" t="s">
        <v>86</v>
      </c>
      <c r="F20" s="110" t="s">
        <v>86</v>
      </c>
      <c r="G20" s="110" t="s">
        <v>86</v>
      </c>
      <c r="H20" s="110" t="s">
        <v>86</v>
      </c>
      <c r="I20" s="110" t="s">
        <v>86</v>
      </c>
      <c r="J20" s="30">
        <f t="shared" si="0"/>
        <v>6.3072987226714256E-3</v>
      </c>
      <c r="K20" s="30">
        <f t="shared" si="1"/>
        <v>83.909750514566028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3" t="s">
        <v>61</v>
      </c>
      <c r="C21" s="21">
        <f>253377253.35</f>
        <v>253377253.34999999</v>
      </c>
      <c r="D21" s="21">
        <f>205561868.31</f>
        <v>205561868.31</v>
      </c>
      <c r="E21" s="110" t="s">
        <v>86</v>
      </c>
      <c r="F21" s="110" t="s">
        <v>86</v>
      </c>
      <c r="G21" s="110" t="s">
        <v>86</v>
      </c>
      <c r="H21" s="110" t="s">
        <v>86</v>
      </c>
      <c r="I21" s="110" t="s">
        <v>86</v>
      </c>
      <c r="J21" s="30">
        <f t="shared" si="0"/>
        <v>0.57510812337942951</v>
      </c>
      <c r="K21" s="30">
        <f t="shared" si="1"/>
        <v>81.12877758053888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3" t="s">
        <v>6</v>
      </c>
      <c r="C22" s="21">
        <f>138727174.25</f>
        <v>138727174.25</v>
      </c>
      <c r="D22" s="21">
        <f>91473796.22</f>
        <v>91473796.219999999</v>
      </c>
      <c r="E22" s="110" t="s">
        <v>86</v>
      </c>
      <c r="F22" s="110" t="s">
        <v>86</v>
      </c>
      <c r="G22" s="110" t="s">
        <v>86</v>
      </c>
      <c r="H22" s="110" t="s">
        <v>86</v>
      </c>
      <c r="I22" s="110" t="s">
        <v>86</v>
      </c>
      <c r="J22" s="30">
        <f t="shared" si="0"/>
        <v>0.25591965920032139</v>
      </c>
      <c r="K22" s="30">
        <f t="shared" si="1"/>
        <v>65.937907778006945</v>
      </c>
      <c r="L22" s="26"/>
      <c r="M22" s="34"/>
      <c r="N22" s="34"/>
      <c r="O22" s="34"/>
      <c r="P22" s="34"/>
      <c r="Q22" s="34"/>
    </row>
    <row r="23" spans="2:17" outlineLevel="1" x14ac:dyDescent="0.2">
      <c r="B23" s="103" t="s">
        <v>8</v>
      </c>
      <c r="C23" s="21">
        <f>51706754</f>
        <v>51706754</v>
      </c>
      <c r="D23" s="21">
        <f>51583749.95</f>
        <v>51583749.950000003</v>
      </c>
      <c r="E23" s="110" t="s">
        <v>86</v>
      </c>
      <c r="F23" s="110" t="s">
        <v>86</v>
      </c>
      <c r="G23" s="110" t="s">
        <v>86</v>
      </c>
      <c r="H23" s="110" t="s">
        <v>86</v>
      </c>
      <c r="I23" s="110" t="s">
        <v>86</v>
      </c>
      <c r="J23" s="30">
        <f t="shared" si="0"/>
        <v>0.14431778556264008</v>
      </c>
      <c r="K23" s="30">
        <f t="shared" si="1"/>
        <v>99.762112218454092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3" t="s">
        <v>6</v>
      </c>
      <c r="C24" s="21">
        <f>13004429</f>
        <v>13004429</v>
      </c>
      <c r="D24" s="21">
        <f>13004427.52</f>
        <v>13004427.52</v>
      </c>
      <c r="E24" s="110" t="s">
        <v>86</v>
      </c>
      <c r="F24" s="110" t="s">
        <v>86</v>
      </c>
      <c r="G24" s="110" t="s">
        <v>86</v>
      </c>
      <c r="H24" s="110" t="s">
        <v>86</v>
      </c>
      <c r="I24" s="110" t="s">
        <v>86</v>
      </c>
      <c r="J24" s="30">
        <f t="shared" si="0"/>
        <v>3.6382973010209686E-2</v>
      </c>
      <c r="K24" s="30">
        <f t="shared" si="1"/>
        <v>99.999988619261941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3" t="s">
        <v>77</v>
      </c>
      <c r="C25" s="21">
        <f>306200</f>
        <v>306200</v>
      </c>
      <c r="D25" s="21">
        <f>303048</f>
        <v>303048</v>
      </c>
      <c r="E25" s="110" t="s">
        <v>86</v>
      </c>
      <c r="F25" s="110" t="s">
        <v>86</v>
      </c>
      <c r="G25" s="110" t="s">
        <v>86</v>
      </c>
      <c r="H25" s="110" t="s">
        <v>86</v>
      </c>
      <c r="I25" s="110" t="s">
        <v>86</v>
      </c>
      <c r="J25" s="30">
        <f t="shared" si="0"/>
        <v>8.4784871828006661E-4</v>
      </c>
      <c r="K25" s="30">
        <f t="shared" si="1"/>
        <v>98.970607446113647</v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3" t="s">
        <v>78</v>
      </c>
      <c r="C26" s="21">
        <f>306200</f>
        <v>306200</v>
      </c>
      <c r="D26" s="21">
        <f>303048</f>
        <v>303048</v>
      </c>
      <c r="E26" s="110" t="s">
        <v>86</v>
      </c>
      <c r="F26" s="110" t="s">
        <v>86</v>
      </c>
      <c r="G26" s="110" t="s">
        <v>86</v>
      </c>
      <c r="H26" s="110" t="s">
        <v>86</v>
      </c>
      <c r="I26" s="110" t="s">
        <v>86</v>
      </c>
      <c r="J26" s="30">
        <f t="shared" si="0"/>
        <v>8.4784871828006661E-4</v>
      </c>
      <c r="K26" s="30">
        <f t="shared" si="1"/>
        <v>98.970607446113647</v>
      </c>
      <c r="L26" s="26"/>
      <c r="M26" s="34"/>
      <c r="N26" s="34"/>
      <c r="O26" s="34"/>
      <c r="P26" s="34"/>
      <c r="Q26" s="34"/>
    </row>
    <row r="27" spans="2:17" ht="45" outlineLevel="1" x14ac:dyDescent="0.2">
      <c r="B27" s="114" t="s">
        <v>76</v>
      </c>
      <c r="C27" s="67">
        <f>789938123.39</f>
        <v>789938123.38999999</v>
      </c>
      <c r="D27" s="67">
        <f>704110995.93</f>
        <v>704110995.92999995</v>
      </c>
      <c r="E27" s="110" t="s">
        <v>86</v>
      </c>
      <c r="F27" s="110" t="s">
        <v>86</v>
      </c>
      <c r="G27" s="110" t="s">
        <v>86</v>
      </c>
      <c r="H27" s="110" t="s">
        <v>86</v>
      </c>
      <c r="I27" s="110" t="s">
        <v>86</v>
      </c>
      <c r="J27" s="68">
        <f t="shared" si="0"/>
        <v>1.9699176547152653</v>
      </c>
      <c r="K27" s="68">
        <f t="shared" si="1"/>
        <v>89.134955647959487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3" t="s">
        <v>6</v>
      </c>
      <c r="C28" s="21">
        <f>789938123.39</f>
        <v>789938123.38999999</v>
      </c>
      <c r="D28" s="21">
        <f>704110995.93</f>
        <v>704110995.92999995</v>
      </c>
      <c r="E28" s="110" t="s">
        <v>86</v>
      </c>
      <c r="F28" s="110" t="s">
        <v>86</v>
      </c>
      <c r="G28" s="110" t="s">
        <v>86</v>
      </c>
      <c r="H28" s="110" t="s">
        <v>86</v>
      </c>
      <c r="I28" s="110" t="s">
        <v>86</v>
      </c>
      <c r="J28" s="30">
        <f t="shared" si="0"/>
        <v>1.9699176547152653</v>
      </c>
      <c r="K28" s="30">
        <f t="shared" si="1"/>
        <v>89.134955647959487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4" t="s">
        <v>95</v>
      </c>
      <c r="C29" s="21">
        <f>43607569.74</f>
        <v>43607569.740000002</v>
      </c>
      <c r="D29" s="21">
        <f>44129990.18</f>
        <v>44129990.18</v>
      </c>
      <c r="E29" s="110" t="s">
        <v>86</v>
      </c>
      <c r="F29" s="110" t="s">
        <v>86</v>
      </c>
      <c r="G29" s="110" t="s">
        <v>86</v>
      </c>
      <c r="H29" s="110" t="s">
        <v>86</v>
      </c>
      <c r="I29" s="110" t="s">
        <v>86</v>
      </c>
      <c r="J29" s="30">
        <f t="shared" si="0"/>
        <v>0.12346412321422655</v>
      </c>
      <c r="K29" s="30">
        <f t="shared" si="1"/>
        <v>101.19800402341797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3" t="s">
        <v>6</v>
      </c>
      <c r="C30" s="21">
        <f>0</f>
        <v>0</v>
      </c>
      <c r="D30" s="21">
        <f>0</f>
        <v>0</v>
      </c>
      <c r="E30" s="110" t="s">
        <v>86</v>
      </c>
      <c r="F30" s="110" t="s">
        <v>86</v>
      </c>
      <c r="G30" s="110" t="s">
        <v>86</v>
      </c>
      <c r="H30" s="110" t="s">
        <v>86</v>
      </c>
      <c r="I30" s="110" t="s">
        <v>86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2" t="s">
        <v>53</v>
      </c>
      <c r="C31" s="55">
        <f>881096129.87</f>
        <v>881096129.87</v>
      </c>
      <c r="D31" s="55">
        <f>688656559.25</f>
        <v>688656559.25</v>
      </c>
      <c r="E31" s="94" t="s">
        <v>86</v>
      </c>
      <c r="F31" s="94" t="s">
        <v>86</v>
      </c>
      <c r="G31" s="94" t="s">
        <v>86</v>
      </c>
      <c r="H31" s="94" t="s">
        <v>86</v>
      </c>
      <c r="I31" s="94" t="s">
        <v>86</v>
      </c>
      <c r="J31" s="56">
        <f t="shared" si="0"/>
        <v>1.9266801994907516</v>
      </c>
      <c r="K31" s="56">
        <f t="shared" si="1"/>
        <v>78.159072081227592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4" t="s">
        <v>54</v>
      </c>
      <c r="C32" s="20">
        <f>285688114.3</f>
        <v>285688114.30000001</v>
      </c>
      <c r="D32" s="20">
        <f>185683121.4</f>
        <v>185683121.40000001</v>
      </c>
      <c r="E32" s="110" t="s">
        <v>86</v>
      </c>
      <c r="F32" s="110" t="s">
        <v>86</v>
      </c>
      <c r="G32" s="110" t="s">
        <v>86</v>
      </c>
      <c r="H32" s="110" t="s">
        <v>86</v>
      </c>
      <c r="I32" s="110" t="s">
        <v>86</v>
      </c>
      <c r="J32" s="30">
        <f t="shared" si="0"/>
        <v>0.51949261003283975</v>
      </c>
      <c r="K32" s="30">
        <f t="shared" si="1"/>
        <v>64.995046032966869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2" t="s">
        <v>66</v>
      </c>
      <c r="C33" s="55">
        <f>3602423303.95</f>
        <v>3602423303.9499998</v>
      </c>
      <c r="D33" s="55">
        <f>3406577482.83</f>
        <v>3406577482.8299999</v>
      </c>
      <c r="E33" s="94" t="s">
        <v>86</v>
      </c>
      <c r="F33" s="94" t="s">
        <v>86</v>
      </c>
      <c r="G33" s="94" t="s">
        <v>86</v>
      </c>
      <c r="H33" s="94" t="s">
        <v>86</v>
      </c>
      <c r="I33" s="94" t="s">
        <v>86</v>
      </c>
      <c r="J33" s="59">
        <f t="shared" si="0"/>
        <v>9.5307091699636732</v>
      </c>
      <c r="K33" s="59">
        <f t="shared" si="1"/>
        <v>94.563497829217965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4" t="s">
        <v>67</v>
      </c>
      <c r="C34" s="20">
        <f>1732591981.35</f>
        <v>1732591981.3499999</v>
      </c>
      <c r="D34" s="20">
        <f>1703617334.39</f>
        <v>1703617334.3900001</v>
      </c>
      <c r="E34" s="110" t="s">
        <v>86</v>
      </c>
      <c r="F34" s="110" t="s">
        <v>86</v>
      </c>
      <c r="G34" s="110" t="s">
        <v>86</v>
      </c>
      <c r="H34" s="110" t="s">
        <v>86</v>
      </c>
      <c r="I34" s="110" t="s">
        <v>86</v>
      </c>
      <c r="J34" s="30">
        <f t="shared" si="0"/>
        <v>4.7662739018316085</v>
      </c>
      <c r="K34" s="30">
        <f t="shared" si="1"/>
        <v>98.327670491847513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43</v>
      </c>
      <c r="C35" s="22">
        <f>C36+C37+C38+C39+C40</f>
        <v>6344654656</v>
      </c>
      <c r="D35" s="22">
        <f>D36+D37+D38+D39+D40</f>
        <v>6344662142</v>
      </c>
      <c r="E35" s="94" t="s">
        <v>86</v>
      </c>
      <c r="F35" s="94" t="s">
        <v>86</v>
      </c>
      <c r="G35" s="94" t="s">
        <v>86</v>
      </c>
      <c r="H35" s="94" t="s">
        <v>86</v>
      </c>
      <c r="I35" s="94" t="s">
        <v>86</v>
      </c>
      <c r="J35" s="29">
        <f t="shared" si="0"/>
        <v>17.750698453759014</v>
      </c>
      <c r="K35" s="29">
        <f t="shared" si="1"/>
        <v>100.0001179890854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29</v>
      </c>
      <c r="C36" s="21">
        <f>1087800789</f>
        <v>1087800789</v>
      </c>
      <c r="D36" s="21">
        <f>1087808275</f>
        <v>1087808275</v>
      </c>
      <c r="E36" s="110" t="s">
        <v>86</v>
      </c>
      <c r="F36" s="110" t="s">
        <v>86</v>
      </c>
      <c r="G36" s="110" t="s">
        <v>86</v>
      </c>
      <c r="H36" s="110" t="s">
        <v>86</v>
      </c>
      <c r="I36" s="110" t="s">
        <v>86</v>
      </c>
      <c r="J36" s="30">
        <f t="shared" si="0"/>
        <v>3.0434018759180073</v>
      </c>
      <c r="K36" s="30">
        <f t="shared" si="1"/>
        <v>100.00068817747474</v>
      </c>
      <c r="L36" s="27"/>
      <c r="M36" s="34"/>
      <c r="N36" s="34"/>
      <c r="O36" s="34"/>
      <c r="P36" s="34"/>
      <c r="Q36" s="34"/>
    </row>
    <row r="37" spans="1:26" ht="12.75" customHeight="1" outlineLevel="1" x14ac:dyDescent="0.2">
      <c r="B37" s="60" t="s">
        <v>40</v>
      </c>
      <c r="C37" s="21">
        <f>1257099546</f>
        <v>1257099546</v>
      </c>
      <c r="D37" s="21">
        <f>1257099546</f>
        <v>1257099546</v>
      </c>
      <c r="E37" s="110" t="s">
        <v>86</v>
      </c>
      <c r="F37" s="110" t="s">
        <v>86</v>
      </c>
      <c r="G37" s="110" t="s">
        <v>86</v>
      </c>
      <c r="H37" s="110" t="s">
        <v>86</v>
      </c>
      <c r="I37" s="110" t="s">
        <v>86</v>
      </c>
      <c r="J37" s="30">
        <f t="shared" si="0"/>
        <v>3.5170343933190575</v>
      </c>
      <c r="K37" s="30">
        <f t="shared" si="1"/>
        <v>100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60" t="s">
        <v>30</v>
      </c>
      <c r="C38" s="21">
        <f>3511396385</f>
        <v>3511396385</v>
      </c>
      <c r="D38" s="21">
        <f>3511396385</f>
        <v>3511396385</v>
      </c>
      <c r="E38" s="110" t="s">
        <v>86</v>
      </c>
      <c r="F38" s="110" t="s">
        <v>86</v>
      </c>
      <c r="G38" s="110" t="s">
        <v>86</v>
      </c>
      <c r="H38" s="110" t="s">
        <v>86</v>
      </c>
      <c r="I38" s="110" t="s">
        <v>86</v>
      </c>
      <c r="J38" s="30">
        <f t="shared" si="0"/>
        <v>9.8239649309532133</v>
      </c>
      <c r="K38" s="30">
        <f t="shared" si="1"/>
        <v>100</v>
      </c>
      <c r="L38" s="27"/>
      <c r="M38" s="34"/>
      <c r="N38" s="34"/>
      <c r="O38" s="34"/>
      <c r="P38" s="34"/>
      <c r="Q38" s="34"/>
    </row>
    <row r="39" spans="1:26" ht="12.75" customHeight="1" outlineLevel="1" x14ac:dyDescent="0.2">
      <c r="B39" s="60" t="s">
        <v>105</v>
      </c>
      <c r="C39" s="21">
        <f>102760201</f>
        <v>102760201</v>
      </c>
      <c r="D39" s="21">
        <f>102760201</f>
        <v>102760201</v>
      </c>
      <c r="E39" s="110" t="s">
        <v>86</v>
      </c>
      <c r="F39" s="110" t="s">
        <v>86</v>
      </c>
      <c r="G39" s="110" t="s">
        <v>86</v>
      </c>
      <c r="H39" s="110" t="s">
        <v>86</v>
      </c>
      <c r="I39" s="110" t="s">
        <v>86</v>
      </c>
      <c r="J39" s="30">
        <f t="shared" si="0"/>
        <v>0.28749605576691489</v>
      </c>
      <c r="K39" s="30">
        <f>IF(C39=0,"",100*D39/C39)</f>
        <v>100</v>
      </c>
      <c r="L39" s="27"/>
      <c r="M39" s="34"/>
      <c r="N39" s="34"/>
      <c r="O39" s="34"/>
      <c r="P39" s="34"/>
      <c r="Q39" s="34"/>
    </row>
    <row r="40" spans="1:26" s="5" customFormat="1" ht="12.75" customHeight="1" outlineLevel="1" x14ac:dyDescent="0.2">
      <c r="B40" s="60" t="s">
        <v>28</v>
      </c>
      <c r="C40" s="21">
        <f>385597735</f>
        <v>385597735</v>
      </c>
      <c r="D40" s="21">
        <f>385597735</f>
        <v>385597735</v>
      </c>
      <c r="E40" s="110" t="s">
        <v>86</v>
      </c>
      <c r="F40" s="110" t="s">
        <v>86</v>
      </c>
      <c r="G40" s="110" t="s">
        <v>86</v>
      </c>
      <c r="H40" s="110" t="s">
        <v>86</v>
      </c>
      <c r="I40" s="110" t="s">
        <v>86</v>
      </c>
      <c r="J40" s="30">
        <f t="shared" si="0"/>
        <v>1.0788011978018228</v>
      </c>
      <c r="K40" s="30">
        <f>IF(C40=0,"",100*D40/C40)</f>
        <v>100</v>
      </c>
      <c r="L40" s="27"/>
      <c r="M40" s="48"/>
      <c r="N40" s="48"/>
      <c r="O40" s="48"/>
      <c r="P40" s="48"/>
      <c r="Q40" s="48"/>
    </row>
    <row r="41" spans="1:26" s="5" customFormat="1" x14ac:dyDescent="0.2">
      <c r="B41" s="98" t="s">
        <v>93</v>
      </c>
      <c r="C41" s="55">
        <f>+C5</f>
        <v>35982554474.669998</v>
      </c>
      <c r="D41" s="55">
        <f>+D5</f>
        <v>35743168971.790001</v>
      </c>
      <c r="E41" s="94" t="s">
        <v>86</v>
      </c>
      <c r="F41" s="94" t="s">
        <v>86</v>
      </c>
      <c r="G41" s="94" t="s">
        <v>86</v>
      </c>
      <c r="H41" s="94" t="s">
        <v>86</v>
      </c>
      <c r="I41" s="94" t="s">
        <v>86</v>
      </c>
      <c r="J41" s="59">
        <f>IF($D$5=0,"",100*$D41/$D$41)</f>
        <v>100</v>
      </c>
      <c r="K41" s="91">
        <f t="shared" si="1"/>
        <v>99.334717875440134</v>
      </c>
      <c r="L41" s="93"/>
      <c r="M41" s="48"/>
      <c r="N41" s="48"/>
      <c r="O41" s="48"/>
      <c r="P41" s="48"/>
      <c r="Q41" s="48"/>
    </row>
    <row r="42" spans="1:26" s="5" customFormat="1" x14ac:dyDescent="0.2">
      <c r="B42" s="99" t="s">
        <v>56</v>
      </c>
      <c r="C42" s="21">
        <f>4213238768.36</f>
        <v>4213238768.3600001</v>
      </c>
      <c r="D42" s="21">
        <f>3891176489.95</f>
        <v>3891176489.9499998</v>
      </c>
      <c r="E42" s="110" t="s">
        <v>86</v>
      </c>
      <c r="F42" s="110" t="s">
        <v>86</v>
      </c>
      <c r="G42" s="110" t="s">
        <v>86</v>
      </c>
      <c r="H42" s="110" t="s">
        <v>86</v>
      </c>
      <c r="I42" s="110" t="s">
        <v>86</v>
      </c>
      <c r="J42" s="30">
        <f>IF($D$5=0,"",100*$D42/$D$41)</f>
        <v>10.886489927686823</v>
      </c>
      <c r="K42" s="92">
        <f t="shared" si="1"/>
        <v>92.35594524505521</v>
      </c>
      <c r="L42" s="93"/>
      <c r="M42" s="48"/>
      <c r="N42" s="48"/>
      <c r="O42" s="48"/>
      <c r="P42" s="48"/>
      <c r="Q42" s="48"/>
    </row>
    <row r="43" spans="1:26" s="5" customFormat="1" x14ac:dyDescent="0.2">
      <c r="A43" s="2"/>
      <c r="B43" s="99" t="s">
        <v>57</v>
      </c>
      <c r="C43" s="21">
        <f>C41-C42</f>
        <v>31769315706.309998</v>
      </c>
      <c r="D43" s="21">
        <f>D41-D42</f>
        <v>31851992481.84</v>
      </c>
      <c r="E43" s="110" t="s">
        <v>86</v>
      </c>
      <c r="F43" s="110" t="s">
        <v>86</v>
      </c>
      <c r="G43" s="110" t="s">
        <v>86</v>
      </c>
      <c r="H43" s="110" t="s">
        <v>86</v>
      </c>
      <c r="I43" s="110" t="s">
        <v>86</v>
      </c>
      <c r="J43" s="30">
        <f>IF($D$5=0,"",100*$D43/$D$41)</f>
        <v>89.113510072313176</v>
      </c>
      <c r="K43" s="92">
        <f t="shared" si="1"/>
        <v>100.26024097054625</v>
      </c>
      <c r="L43" s="93"/>
      <c r="M43" s="49"/>
      <c r="N43" s="49"/>
      <c r="O43" s="50"/>
      <c r="P43" s="50"/>
      <c r="Q43" s="19"/>
    </row>
    <row r="44" spans="1:26" s="5" customFormat="1" x14ac:dyDescent="0.2">
      <c r="A44" s="2"/>
      <c r="B44" s="119" t="s">
        <v>96</v>
      </c>
      <c r="C44" s="87"/>
      <c r="D44" s="87"/>
      <c r="E44" s="118"/>
      <c r="F44" s="118"/>
      <c r="G44" s="118"/>
      <c r="H44" s="118"/>
      <c r="I44" s="118"/>
      <c r="J44" s="58"/>
      <c r="K44" s="58"/>
      <c r="L44" s="58"/>
      <c r="M44" s="49"/>
      <c r="N44" s="49"/>
      <c r="O44" s="50"/>
      <c r="P44" s="50"/>
      <c r="Q44" s="19"/>
    </row>
    <row r="45" spans="1:26" ht="18" customHeight="1" x14ac:dyDescent="0.2">
      <c r="B45" s="100" t="str">
        <f>CONCATENATE("Informacja z wykonania budżetów województw za ",$D$105," ",$C$106," rok    ",$C$108,"")</f>
        <v xml:space="preserve">Informacja z wykonania budżetów województw za IV Kwartały 2024 rok    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26" s="5" customFormat="1" ht="10.5" customHeight="1" x14ac:dyDescent="0.2">
      <c r="B46" s="6"/>
      <c r="C46" s="7"/>
      <c r="D46" s="8"/>
      <c r="E46" s="8"/>
      <c r="F46" s="4"/>
      <c r="G46" s="4"/>
      <c r="H46" s="4"/>
      <c r="I46" s="4"/>
      <c r="J46" s="4"/>
      <c r="K46" s="9"/>
      <c r="L46" s="9"/>
      <c r="M46" s="3"/>
    </row>
    <row r="47" spans="1:26" ht="29.25" customHeight="1" x14ac:dyDescent="0.2">
      <c r="B47" s="150" t="s">
        <v>0</v>
      </c>
      <c r="C47" s="123" t="s">
        <v>36</v>
      </c>
      <c r="D47" s="123" t="s">
        <v>38</v>
      </c>
      <c r="E47" s="123" t="s">
        <v>37</v>
      </c>
      <c r="F47" s="123" t="s">
        <v>12</v>
      </c>
      <c r="G47" s="123"/>
      <c r="H47" s="123"/>
      <c r="I47" s="145" t="s">
        <v>68</v>
      </c>
      <c r="J47" s="123" t="s">
        <v>2</v>
      </c>
      <c r="K47" s="149" t="s">
        <v>18</v>
      </c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">
      <c r="B48" s="150"/>
      <c r="C48" s="123"/>
      <c r="D48" s="123"/>
      <c r="E48" s="125"/>
      <c r="F48" s="126" t="s">
        <v>39</v>
      </c>
      <c r="G48" s="124" t="s">
        <v>24</v>
      </c>
      <c r="H48" s="125"/>
      <c r="I48" s="146"/>
      <c r="J48" s="123"/>
      <c r="K48" s="149"/>
      <c r="L48" s="11"/>
      <c r="M48" s="12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55.5" customHeight="1" x14ac:dyDescent="0.2">
      <c r="B49" s="150"/>
      <c r="C49" s="123"/>
      <c r="D49" s="123"/>
      <c r="E49" s="125"/>
      <c r="F49" s="125"/>
      <c r="G49" s="15" t="s">
        <v>34</v>
      </c>
      <c r="H49" s="15" t="s">
        <v>35</v>
      </c>
      <c r="I49" s="147"/>
      <c r="J49" s="123"/>
      <c r="K49" s="149"/>
      <c r="L49" s="11"/>
      <c r="M49" s="10"/>
      <c r="N49" s="4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3.5" customHeight="1" x14ac:dyDescent="0.2">
      <c r="B50" s="150"/>
      <c r="C50" s="142" t="s">
        <v>60</v>
      </c>
      <c r="D50" s="143"/>
      <c r="E50" s="143"/>
      <c r="F50" s="143"/>
      <c r="G50" s="143"/>
      <c r="H50" s="143"/>
      <c r="I50" s="144"/>
      <c r="J50" s="148" t="s">
        <v>4</v>
      </c>
      <c r="K50" s="148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11.25" customHeight="1" x14ac:dyDescent="0.2">
      <c r="B51" s="14">
        <v>1</v>
      </c>
      <c r="C51" s="16">
        <v>2</v>
      </c>
      <c r="D51" s="16">
        <v>3</v>
      </c>
      <c r="E51" s="16">
        <v>4</v>
      </c>
      <c r="F51" s="14">
        <v>5</v>
      </c>
      <c r="G51" s="14">
        <v>6</v>
      </c>
      <c r="H51" s="16">
        <v>7</v>
      </c>
      <c r="I51" s="16">
        <v>8</v>
      </c>
      <c r="J51" s="14">
        <v>9</v>
      </c>
      <c r="K51" s="16">
        <v>10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ht="27" customHeight="1" x14ac:dyDescent="0.2">
      <c r="B52" s="95" t="s">
        <v>44</v>
      </c>
      <c r="C52" s="61">
        <f>36292849149.56</f>
        <v>36292849149.559998</v>
      </c>
      <c r="D52" s="72">
        <f>33189879607.44</f>
        <v>33189879607.439999</v>
      </c>
      <c r="E52" s="72">
        <f>33216139537.11</f>
        <v>33216139537.110001</v>
      </c>
      <c r="F52" s="61">
        <f>552887019.03</f>
        <v>552887019.02999997</v>
      </c>
      <c r="G52" s="61">
        <f>11814.75</f>
        <v>11814.75</v>
      </c>
      <c r="H52" s="61">
        <f>38950.57</f>
        <v>38950.57</v>
      </c>
      <c r="I52" s="73">
        <f>148997968.04</f>
        <v>148997968.03999999</v>
      </c>
      <c r="J52" s="47">
        <f>IF($D$52=0,"",100*$D52/$D$52)</f>
        <v>100</v>
      </c>
      <c r="K52" s="47">
        <f>IF(C52=0,"",100*D52/C52)</f>
        <v>91.450190285879998</v>
      </c>
      <c r="L52" s="34"/>
      <c r="O52" s="88"/>
    </row>
    <row r="53" spans="2:26" x14ac:dyDescent="0.2">
      <c r="B53" s="96" t="s">
        <v>14</v>
      </c>
      <c r="C53" s="23">
        <f>12327104573.34</f>
        <v>12327104573.34</v>
      </c>
      <c r="D53" s="23">
        <f>10812331398.35</f>
        <v>10812331398.35</v>
      </c>
      <c r="E53" s="23">
        <f>10838731129.05</f>
        <v>10838731129.049999</v>
      </c>
      <c r="F53" s="23">
        <f>129055603.23</f>
        <v>129055603.23</v>
      </c>
      <c r="G53" s="23">
        <f>1951.5</f>
        <v>1951.5</v>
      </c>
      <c r="H53" s="23">
        <f>14999.83</f>
        <v>14999.83</v>
      </c>
      <c r="I53" s="74">
        <f>113335282.22</f>
        <v>113335282.22</v>
      </c>
      <c r="J53" s="47">
        <f t="shared" ref="J53:J61" si="2">IF($D$52=0,"",100*$D53/$D$52)</f>
        <v>32.577193789899304</v>
      </c>
      <c r="K53" s="47">
        <f t="shared" ref="K53:K61" si="3">IF(C53=0,"",100*D53/C53)</f>
        <v>87.711849396767334</v>
      </c>
      <c r="L53" s="34"/>
      <c r="O53" s="81"/>
    </row>
    <row r="54" spans="2:26" ht="12.75" customHeight="1" outlineLevel="1" x14ac:dyDescent="0.2">
      <c r="B54" s="28" t="s">
        <v>13</v>
      </c>
      <c r="C54" s="20">
        <f>11604681773.34</f>
        <v>11604681773.34</v>
      </c>
      <c r="D54" s="20">
        <f>10089947646.42</f>
        <v>10089947646.42</v>
      </c>
      <c r="E54" s="20">
        <f>10116347377.12</f>
        <v>10116347377.120001</v>
      </c>
      <c r="F54" s="20">
        <f>129055603.23</f>
        <v>129055603.23</v>
      </c>
      <c r="G54" s="20">
        <f>1951.5</f>
        <v>1951.5</v>
      </c>
      <c r="H54" s="20">
        <f>14999.83</f>
        <v>14999.83</v>
      </c>
      <c r="I54" s="75">
        <f>113335282.22</f>
        <v>113335282.22</v>
      </c>
      <c r="J54" s="47">
        <f t="shared" si="2"/>
        <v>30.40067564498845</v>
      </c>
      <c r="K54" s="47">
        <f t="shared" si="3"/>
        <v>86.947215300639499</v>
      </c>
      <c r="L54" s="34"/>
      <c r="O54" s="87"/>
    </row>
    <row r="55" spans="2:26" ht="27" customHeight="1" x14ac:dyDescent="0.2">
      <c r="B55" s="96" t="s">
        <v>45</v>
      </c>
      <c r="C55" s="23">
        <f t="shared" ref="C55:I55" si="4">C52-C53</f>
        <v>23965744576.219997</v>
      </c>
      <c r="D55" s="23">
        <f>D52-D53</f>
        <v>22377548209.089996</v>
      </c>
      <c r="E55" s="23">
        <f>E52-E53</f>
        <v>22377408408.060001</v>
      </c>
      <c r="F55" s="23">
        <f t="shared" si="4"/>
        <v>423831415.79999995</v>
      </c>
      <c r="G55" s="23">
        <f t="shared" si="4"/>
        <v>9863.25</v>
      </c>
      <c r="H55" s="23">
        <f t="shared" si="4"/>
        <v>23950.739999999998</v>
      </c>
      <c r="I55" s="74">
        <f t="shared" si="4"/>
        <v>35662685.819999993</v>
      </c>
      <c r="J55" s="47">
        <f t="shared" si="2"/>
        <v>67.422806210100688</v>
      </c>
      <c r="K55" s="47">
        <f t="shared" si="3"/>
        <v>93.373056438622442</v>
      </c>
      <c r="L55" s="34"/>
      <c r="O55" s="81"/>
    </row>
    <row r="56" spans="2:26" ht="22.5" outlineLevel="1" x14ac:dyDescent="0.2">
      <c r="B56" s="28" t="s">
        <v>79</v>
      </c>
      <c r="C56" s="20">
        <f>5802284995.95</f>
        <v>5802284995.9499998</v>
      </c>
      <c r="D56" s="20">
        <f>5547881237.13</f>
        <v>5547881237.1300001</v>
      </c>
      <c r="E56" s="20">
        <f>5547911210.9</f>
        <v>5547911210.8999996</v>
      </c>
      <c r="F56" s="20">
        <f>346768949.62</f>
        <v>346768949.62</v>
      </c>
      <c r="G56" s="20">
        <f>199.43</f>
        <v>199.43</v>
      </c>
      <c r="H56" s="20">
        <f>3258.97</f>
        <v>3258.97</v>
      </c>
      <c r="I56" s="75">
        <f>0</f>
        <v>0</v>
      </c>
      <c r="J56" s="47">
        <f t="shared" si="2"/>
        <v>16.715581082994831</v>
      </c>
      <c r="K56" s="47">
        <f t="shared" si="3"/>
        <v>95.61545565242703</v>
      </c>
      <c r="L56" s="34"/>
      <c r="O56" s="87"/>
    </row>
    <row r="57" spans="2:26" ht="12.75" customHeight="1" outlineLevel="1" x14ac:dyDescent="0.2">
      <c r="B57" s="60" t="s">
        <v>33</v>
      </c>
      <c r="C57" s="62">
        <f>9480538274.27</f>
        <v>9480538274.2700005</v>
      </c>
      <c r="D57" s="62">
        <f>9217452932.59</f>
        <v>9217452932.5900002</v>
      </c>
      <c r="E57" s="62">
        <f>9217459364.3</f>
        <v>9217459364.2999992</v>
      </c>
      <c r="F57" s="62">
        <f>4563058.98</f>
        <v>4563058.9800000004</v>
      </c>
      <c r="G57" s="62">
        <f>0</f>
        <v>0</v>
      </c>
      <c r="H57" s="62">
        <f>0</f>
        <v>0</v>
      </c>
      <c r="I57" s="76">
        <f>594736.82</f>
        <v>594736.81999999995</v>
      </c>
      <c r="J57" s="47">
        <f t="shared" si="2"/>
        <v>27.771878179768308</v>
      </c>
      <c r="K57" s="47">
        <f t="shared" si="3"/>
        <v>97.224995732636728</v>
      </c>
      <c r="L57" s="34"/>
      <c r="O57" s="81"/>
    </row>
    <row r="58" spans="2:26" ht="12.75" customHeight="1" outlineLevel="1" x14ac:dyDescent="0.2">
      <c r="B58" s="60" t="s">
        <v>32</v>
      </c>
      <c r="C58" s="21">
        <f>293656805.42</f>
        <v>293656805.42000002</v>
      </c>
      <c r="D58" s="21">
        <f>266600438.44</f>
        <v>266600438.44</v>
      </c>
      <c r="E58" s="21">
        <f>266600438.44</f>
        <v>266600438.44</v>
      </c>
      <c r="F58" s="21">
        <f>3190968.24</f>
        <v>3190968.24</v>
      </c>
      <c r="G58" s="21">
        <f>0</f>
        <v>0</v>
      </c>
      <c r="H58" s="21">
        <f>0</f>
        <v>0</v>
      </c>
      <c r="I58" s="77">
        <f>0</f>
        <v>0</v>
      </c>
      <c r="J58" s="47">
        <f t="shared" si="2"/>
        <v>0.8032582268850339</v>
      </c>
      <c r="K58" s="47">
        <f t="shared" si="3"/>
        <v>90.786398789122941</v>
      </c>
      <c r="L58" s="34"/>
      <c r="O58" s="87"/>
    </row>
    <row r="59" spans="2:26" ht="22.5" customHeight="1" outlineLevel="1" x14ac:dyDescent="0.2">
      <c r="B59" s="60" t="s">
        <v>51</v>
      </c>
      <c r="C59" s="62">
        <f>55106917.39</f>
        <v>55106917.390000001</v>
      </c>
      <c r="D59" s="62">
        <f>23045836.9</f>
        <v>23045836.899999999</v>
      </c>
      <c r="E59" s="62">
        <f>23045836.9</f>
        <v>23045836.899999999</v>
      </c>
      <c r="F59" s="62">
        <f>0</f>
        <v>0</v>
      </c>
      <c r="G59" s="62">
        <f>0</f>
        <v>0</v>
      </c>
      <c r="H59" s="62">
        <f>0</f>
        <v>0</v>
      </c>
      <c r="I59" s="76">
        <f>0</f>
        <v>0</v>
      </c>
      <c r="J59" s="47">
        <f t="shared" si="2"/>
        <v>6.9436337740839335E-2</v>
      </c>
      <c r="K59" s="47">
        <f t="shared" si="3"/>
        <v>41.820225103322549</v>
      </c>
      <c r="L59" s="34"/>
      <c r="O59" s="81"/>
    </row>
    <row r="60" spans="2:26" ht="22.5" outlineLevel="1" x14ac:dyDescent="0.2">
      <c r="B60" s="60" t="s">
        <v>52</v>
      </c>
      <c r="C60" s="62">
        <f>179404021.02</f>
        <v>179404021.02000001</v>
      </c>
      <c r="D60" s="62">
        <f>161965750.51</f>
        <v>161965750.50999999</v>
      </c>
      <c r="E60" s="62">
        <f>161965750.51</f>
        <v>161965750.50999999</v>
      </c>
      <c r="F60" s="62">
        <f>1416160.07</f>
        <v>1416160.07</v>
      </c>
      <c r="G60" s="62">
        <f>0</f>
        <v>0</v>
      </c>
      <c r="H60" s="62">
        <f>0</f>
        <v>0</v>
      </c>
      <c r="I60" s="69">
        <f>0</f>
        <v>0</v>
      </c>
      <c r="J60" s="47">
        <f t="shared" si="2"/>
        <v>0.48799740290016902</v>
      </c>
      <c r="K60" s="47">
        <f t="shared" si="3"/>
        <v>90.27988870547334</v>
      </c>
      <c r="L60" s="34"/>
      <c r="O60" s="81"/>
    </row>
    <row r="61" spans="2:26" ht="12.75" customHeight="1" outlineLevel="1" x14ac:dyDescent="0.2">
      <c r="B61" s="60" t="s">
        <v>31</v>
      </c>
      <c r="C61" s="21">
        <f t="shared" ref="C61:I61" si="5">C55-C56-C57-C58-C59-C60</f>
        <v>8154753562.1699953</v>
      </c>
      <c r="D61" s="21">
        <f>D55-D56-D57-D58-D59-D60</f>
        <v>7160602013.5199957</v>
      </c>
      <c r="E61" s="78">
        <f>E55-E56-E57-E58-E59-E60</f>
        <v>7160425807.0100031</v>
      </c>
      <c r="F61" s="78">
        <f t="shared" si="5"/>
        <v>67892278.889999956</v>
      </c>
      <c r="G61" s="78">
        <f t="shared" si="5"/>
        <v>9663.82</v>
      </c>
      <c r="H61" s="78">
        <f t="shared" si="5"/>
        <v>20691.769999999997</v>
      </c>
      <c r="I61" s="79">
        <f t="shared" si="5"/>
        <v>35067948.999999993</v>
      </c>
      <c r="J61" s="80">
        <f t="shared" si="2"/>
        <v>21.574654979811498</v>
      </c>
      <c r="K61" s="47">
        <f t="shared" si="3"/>
        <v>87.808932041038233</v>
      </c>
      <c r="L61" s="34"/>
      <c r="O61" s="87"/>
    </row>
    <row r="62" spans="2:26" x14ac:dyDescent="0.2">
      <c r="B62" s="17" t="s">
        <v>15</v>
      </c>
      <c r="C62" s="115">
        <f>C5-C52</f>
        <v>-310294674.88999939</v>
      </c>
      <c r="D62" s="115">
        <f>D5-D52</f>
        <v>2553289364.3500023</v>
      </c>
      <c r="E62" s="84"/>
      <c r="F62" s="85"/>
      <c r="G62" s="85"/>
      <c r="H62" s="85"/>
      <c r="I62" s="141"/>
      <c r="J62" s="141"/>
      <c r="K62" s="25"/>
      <c r="L62" s="25"/>
      <c r="M62" s="51"/>
    </row>
    <row r="63" spans="2:26" ht="38.25" x14ac:dyDescent="0.2">
      <c r="B63" s="97" t="s">
        <v>94</v>
      </c>
      <c r="C63" s="115">
        <f>+C43-C55</f>
        <v>7803571130.0900002</v>
      </c>
      <c r="D63" s="115">
        <f>+D43-D55</f>
        <v>9474444272.7500038</v>
      </c>
      <c r="E63" s="83"/>
      <c r="F63" s="82"/>
      <c r="G63" s="82"/>
      <c r="H63" s="82"/>
      <c r="I63" s="128"/>
      <c r="J63" s="129"/>
      <c r="K63" s="34"/>
      <c r="L63" s="52"/>
      <c r="M63" s="52"/>
    </row>
    <row r="64" spans="2:26" ht="13.5" customHeight="1" x14ac:dyDescent="0.2">
      <c r="B64" s="53"/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12" customHeight="1" x14ac:dyDescent="0.2">
      <c r="B65" s="116" t="s">
        <v>97</v>
      </c>
      <c r="C65" s="54"/>
      <c r="D65" s="54"/>
      <c r="E65" s="54"/>
      <c r="F65" s="18"/>
      <c r="G65" s="18"/>
      <c r="H65" s="18"/>
      <c r="I65" s="18"/>
      <c r="J65" s="34"/>
      <c r="K65" s="34"/>
      <c r="L65" s="52"/>
      <c r="M65" s="52"/>
    </row>
    <row r="66" spans="2:13" ht="27" customHeight="1" x14ac:dyDescent="0.2">
      <c r="B66" s="117" t="s">
        <v>69</v>
      </c>
      <c r="C66" s="115">
        <f>5214160376.09</f>
        <v>5214160376.0900002</v>
      </c>
      <c r="D66" s="115">
        <f>4239062287.31</f>
        <v>4239062287.3099999</v>
      </c>
      <c r="E66" s="23">
        <f>4241995666.18</f>
        <v>4241995666.1799998</v>
      </c>
      <c r="F66" s="23">
        <f>113144630.05</f>
        <v>113144630.05</v>
      </c>
      <c r="G66" s="23">
        <f>0</f>
        <v>0</v>
      </c>
      <c r="H66" s="23">
        <f>58.6</f>
        <v>58.6</v>
      </c>
      <c r="I66" s="86">
        <f>25505867.82</f>
        <v>25505867.82</v>
      </c>
      <c r="J66" s="32">
        <f>IF($D$66=0,"",100*$D66/$D$66)</f>
        <v>100</v>
      </c>
      <c r="K66" s="32">
        <f>IF(C66=0,"",100*D66/C66)</f>
        <v>81.299039184690216</v>
      </c>
      <c r="L66" s="52"/>
    </row>
    <row r="67" spans="2:13" ht="12.75" customHeight="1" x14ac:dyDescent="0.2">
      <c r="B67" s="101" t="s">
        <v>58</v>
      </c>
      <c r="C67" s="62">
        <f>2307365834.46</f>
        <v>2307365834.46</v>
      </c>
      <c r="D67" s="62">
        <f>1884551834.99</f>
        <v>1884551834.99</v>
      </c>
      <c r="E67" s="62">
        <f>1887618813.11</f>
        <v>1887618813.1099999</v>
      </c>
      <c r="F67" s="62">
        <f>45995862.31</f>
        <v>45995862.310000002</v>
      </c>
      <c r="G67" s="62">
        <f>0</f>
        <v>0</v>
      </c>
      <c r="H67" s="62">
        <f>0</f>
        <v>0</v>
      </c>
      <c r="I67" s="69">
        <f>25490245</f>
        <v>25490245</v>
      </c>
      <c r="J67" s="32">
        <f>IF($D$66=0,"",100*$D67/$D$66)</f>
        <v>44.456809248393661</v>
      </c>
      <c r="K67" s="32">
        <f>IF(C67=0,"",100*D67/C67)</f>
        <v>81.675467619596077</v>
      </c>
      <c r="L67" s="34"/>
    </row>
    <row r="68" spans="2:13" ht="12.75" customHeight="1" x14ac:dyDescent="0.2">
      <c r="B68" s="101" t="s">
        <v>59</v>
      </c>
      <c r="C68" s="62">
        <f t="shared" ref="C68:I68" si="6">C66-C67</f>
        <v>2906794541.6300001</v>
      </c>
      <c r="D68" s="62">
        <f t="shared" si="6"/>
        <v>2354510452.3199997</v>
      </c>
      <c r="E68" s="62">
        <f t="shared" si="6"/>
        <v>2354376853.0699997</v>
      </c>
      <c r="F68" s="62">
        <f t="shared" si="6"/>
        <v>67148767.739999995</v>
      </c>
      <c r="G68" s="62">
        <f t="shared" si="6"/>
        <v>0</v>
      </c>
      <c r="H68" s="62">
        <f t="shared" si="6"/>
        <v>58.6</v>
      </c>
      <c r="I68" s="71">
        <f t="shared" si="6"/>
        <v>15622.820000000298</v>
      </c>
      <c r="J68" s="32">
        <f>IF($D$66=0,"",100*$D68/$D$66)</f>
        <v>55.543190751606332</v>
      </c>
      <c r="K68" s="32">
        <f>IF(C68=0,"",100*D68/C68)</f>
        <v>81.000236466650847</v>
      </c>
      <c r="L68" s="34"/>
    </row>
    <row r="69" spans="2:13" ht="18" customHeight="1" x14ac:dyDescent="0.2">
      <c r="B69" s="100" t="str">
        <f>CONCATENATE("Informacja z wykonania budżetów województw za ",$D$105," ",$C$106," rok    ",$C$108,"")</f>
        <v xml:space="preserve">Informacja z wykonania budżetów województw za IV Kwartały 2024 rok    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</row>
    <row r="70" spans="2:13" ht="6" customHeight="1" x14ac:dyDescent="0.2"/>
    <row r="71" spans="2:13" x14ac:dyDescent="0.2">
      <c r="B71" s="37" t="s">
        <v>16</v>
      </c>
      <c r="C71" s="70" t="s">
        <v>17</v>
      </c>
      <c r="D71" s="70" t="s">
        <v>1</v>
      </c>
      <c r="E71" s="130" t="s">
        <v>86</v>
      </c>
      <c r="F71" s="131"/>
      <c r="G71" s="131"/>
      <c r="H71" s="131"/>
      <c r="I71" s="132"/>
      <c r="J71" s="16" t="s">
        <v>22</v>
      </c>
      <c r="K71" s="16" t="s">
        <v>23</v>
      </c>
    </row>
    <row r="72" spans="2:13" x14ac:dyDescent="0.2">
      <c r="B72" s="37"/>
      <c r="C72" s="126" t="s">
        <v>60</v>
      </c>
      <c r="D72" s="127"/>
      <c r="E72" s="133"/>
      <c r="F72" s="134"/>
      <c r="G72" s="134"/>
      <c r="H72" s="134"/>
      <c r="I72" s="135"/>
      <c r="J72" s="139" t="s">
        <v>4</v>
      </c>
      <c r="K72" s="140"/>
    </row>
    <row r="73" spans="2:13" x14ac:dyDescent="0.2">
      <c r="B73" s="35">
        <v>1</v>
      </c>
      <c r="C73" s="89">
        <v>2</v>
      </c>
      <c r="D73" s="89">
        <v>3</v>
      </c>
      <c r="E73" s="136"/>
      <c r="F73" s="137"/>
      <c r="G73" s="137"/>
      <c r="H73" s="137"/>
      <c r="I73" s="138"/>
      <c r="J73" s="36">
        <v>4</v>
      </c>
      <c r="K73" s="36">
        <v>5</v>
      </c>
    </row>
    <row r="74" spans="2:13" ht="27" customHeight="1" x14ac:dyDescent="0.2">
      <c r="B74" s="90" t="s">
        <v>46</v>
      </c>
      <c r="C74" s="39">
        <f>2692321212.3</f>
        <v>2692321212.3000002</v>
      </c>
      <c r="D74" s="39">
        <f>5096513523.08</f>
        <v>5096513523.0799999</v>
      </c>
      <c r="E74" s="108" t="s">
        <v>86</v>
      </c>
      <c r="F74" s="108" t="s">
        <v>86</v>
      </c>
      <c r="G74" s="108" t="s">
        <v>86</v>
      </c>
      <c r="H74" s="108" t="s">
        <v>86</v>
      </c>
      <c r="I74" s="108" t="s">
        <v>86</v>
      </c>
      <c r="J74" s="38">
        <f>IF($D$74=0,"",100*$D74/$D$74)</f>
        <v>100</v>
      </c>
      <c r="K74" s="31">
        <f t="shared" ref="K74:K88" si="7">IF(C74=0,"",100*D74/C74)</f>
        <v>189.29812311385174</v>
      </c>
    </row>
    <row r="75" spans="2:13" ht="33.75" x14ac:dyDescent="0.2">
      <c r="B75" s="105" t="s">
        <v>102</v>
      </c>
      <c r="C75" s="40">
        <f>950000000</f>
        <v>950000000</v>
      </c>
      <c r="D75" s="40">
        <f>640000000</f>
        <v>640000000</v>
      </c>
      <c r="E75" s="109" t="s">
        <v>86</v>
      </c>
      <c r="F75" s="109" t="s">
        <v>86</v>
      </c>
      <c r="G75" s="109" t="s">
        <v>86</v>
      </c>
      <c r="H75" s="109" t="s">
        <v>86</v>
      </c>
      <c r="I75" s="109" t="s">
        <v>86</v>
      </c>
      <c r="J75" s="45">
        <f t="shared" ref="J75:J84" si="8">IF($D$74=0,"",100*$D75/$D$74)</f>
        <v>12.557604274014087</v>
      </c>
      <c r="K75" s="46">
        <f t="shared" si="7"/>
        <v>67.368421052631575</v>
      </c>
    </row>
    <row r="76" spans="2:13" ht="22.5" x14ac:dyDescent="0.2">
      <c r="B76" s="106" t="s">
        <v>70</v>
      </c>
      <c r="C76" s="64">
        <f>400000000</f>
        <v>400000000</v>
      </c>
      <c r="D76" s="64">
        <f>400000000</f>
        <v>400000000</v>
      </c>
      <c r="E76" s="109" t="s">
        <v>86</v>
      </c>
      <c r="F76" s="109" t="s">
        <v>86</v>
      </c>
      <c r="G76" s="109" t="s">
        <v>86</v>
      </c>
      <c r="H76" s="109" t="s">
        <v>86</v>
      </c>
      <c r="I76" s="109" t="s">
        <v>86</v>
      </c>
      <c r="J76" s="65">
        <f t="shared" si="8"/>
        <v>7.8485026712588049</v>
      </c>
      <c r="K76" s="66">
        <f t="shared" si="7"/>
        <v>100</v>
      </c>
    </row>
    <row r="77" spans="2:13" ht="12.75" customHeight="1" x14ac:dyDescent="0.2">
      <c r="B77" s="63" t="s">
        <v>71</v>
      </c>
      <c r="C77" s="64">
        <f>107751796</f>
        <v>107751796</v>
      </c>
      <c r="D77" s="64">
        <f>73849448.51</f>
        <v>73849448.510000005</v>
      </c>
      <c r="E77" s="109" t="s">
        <v>86</v>
      </c>
      <c r="F77" s="109" t="s">
        <v>86</v>
      </c>
      <c r="G77" s="109" t="s">
        <v>86</v>
      </c>
      <c r="H77" s="109" t="s">
        <v>86</v>
      </c>
      <c r="I77" s="109" t="s">
        <v>86</v>
      </c>
      <c r="J77" s="65">
        <f t="shared" si="8"/>
        <v>1.4490189847543116</v>
      </c>
      <c r="K77" s="66">
        <f t="shared" si="7"/>
        <v>68.536628855819728</v>
      </c>
    </row>
    <row r="78" spans="2:13" ht="46.5" customHeight="1" x14ac:dyDescent="0.2">
      <c r="B78" s="63" t="s">
        <v>80</v>
      </c>
      <c r="C78" s="64">
        <f>311423111.87</f>
        <v>311423111.87</v>
      </c>
      <c r="D78" s="64">
        <f>1706908688.9</f>
        <v>1706908688.9000001</v>
      </c>
      <c r="E78" s="109" t="s">
        <v>86</v>
      </c>
      <c r="F78" s="109" t="s">
        <v>86</v>
      </c>
      <c r="G78" s="109" t="s">
        <v>86</v>
      </c>
      <c r="H78" s="109" t="s">
        <v>86</v>
      </c>
      <c r="I78" s="109" t="s">
        <v>86</v>
      </c>
      <c r="J78" s="65">
        <f t="shared" si="8"/>
        <v>33.491693511066281</v>
      </c>
      <c r="K78" s="66">
        <f t="shared" si="7"/>
        <v>548.09955454190231</v>
      </c>
    </row>
    <row r="79" spans="2:13" ht="35.25" customHeight="1" x14ac:dyDescent="0.2">
      <c r="B79" s="63" t="s">
        <v>81</v>
      </c>
      <c r="C79" s="64">
        <f>263661275.85</f>
        <v>263661275.84999999</v>
      </c>
      <c r="D79" s="64">
        <f>464969923.32</f>
        <v>464969923.31999999</v>
      </c>
      <c r="E79" s="109" t="s">
        <v>86</v>
      </c>
      <c r="F79" s="109" t="s">
        <v>86</v>
      </c>
      <c r="G79" s="109" t="s">
        <v>86</v>
      </c>
      <c r="H79" s="109" t="s">
        <v>86</v>
      </c>
      <c r="I79" s="109" t="s">
        <v>86</v>
      </c>
      <c r="J79" s="65">
        <f t="shared" si="8"/>
        <v>9.1232942130800545</v>
      </c>
      <c r="K79" s="66">
        <f t="shared" si="7"/>
        <v>176.35123770869063</v>
      </c>
    </row>
    <row r="80" spans="2:13" ht="12.75" customHeight="1" x14ac:dyDescent="0.2">
      <c r="B80" s="63" t="s">
        <v>72</v>
      </c>
      <c r="C80" s="64">
        <f>0</f>
        <v>0</v>
      </c>
      <c r="D80" s="64">
        <f>0</f>
        <v>0</v>
      </c>
      <c r="E80" s="109" t="s">
        <v>86</v>
      </c>
      <c r="F80" s="109" t="s">
        <v>86</v>
      </c>
      <c r="G80" s="109" t="s">
        <v>86</v>
      </c>
      <c r="H80" s="109" t="s">
        <v>86</v>
      </c>
      <c r="I80" s="109" t="s">
        <v>86</v>
      </c>
      <c r="J80" s="65">
        <f t="shared" si="8"/>
        <v>0</v>
      </c>
      <c r="K80" s="66" t="str">
        <f t="shared" si="7"/>
        <v/>
      </c>
    </row>
    <row r="81" spans="2:11" ht="33.75" x14ac:dyDescent="0.2">
      <c r="B81" s="63" t="s">
        <v>75</v>
      </c>
      <c r="C81" s="64">
        <f>759485028.58</f>
        <v>759485028.58000004</v>
      </c>
      <c r="D81" s="64">
        <f>2210785462.35</f>
        <v>2210785462.3499999</v>
      </c>
      <c r="E81" s="109" t="s">
        <v>86</v>
      </c>
      <c r="F81" s="109" t="s">
        <v>86</v>
      </c>
      <c r="G81" s="109" t="s">
        <v>86</v>
      </c>
      <c r="H81" s="109" t="s">
        <v>86</v>
      </c>
      <c r="I81" s="109" t="s">
        <v>86</v>
      </c>
      <c r="J81" s="65">
        <f t="shared" si="8"/>
        <v>43.378389017085269</v>
      </c>
      <c r="K81" s="66">
        <f t="shared" si="7"/>
        <v>291.09006486717436</v>
      </c>
    </row>
    <row r="82" spans="2:11" ht="56.25" x14ac:dyDescent="0.2">
      <c r="B82" s="63" t="s">
        <v>103</v>
      </c>
      <c r="C82" s="64">
        <f>0</f>
        <v>0</v>
      </c>
      <c r="D82" s="64">
        <f>0</f>
        <v>0</v>
      </c>
      <c r="E82" s="109" t="s">
        <v>86</v>
      </c>
      <c r="F82" s="109" t="s">
        <v>86</v>
      </c>
      <c r="G82" s="109" t="s">
        <v>86</v>
      </c>
      <c r="H82" s="109" t="s">
        <v>86</v>
      </c>
      <c r="I82" s="109" t="s">
        <v>86</v>
      </c>
      <c r="J82" s="65">
        <f t="shared" si="8"/>
        <v>0</v>
      </c>
      <c r="K82" s="66" t="str">
        <f>IF(C82=0,"",100*D82/C82)</f>
        <v/>
      </c>
    </row>
    <row r="83" spans="2:11" x14ac:dyDescent="0.2">
      <c r="B83" s="63" t="s">
        <v>98</v>
      </c>
      <c r="C83" s="64">
        <f>300000000</f>
        <v>300000000</v>
      </c>
      <c r="D83" s="64">
        <f>0</f>
        <v>0</v>
      </c>
      <c r="E83" s="109" t="s">
        <v>86</v>
      </c>
      <c r="F83" s="109" t="s">
        <v>86</v>
      </c>
      <c r="G83" s="109" t="s">
        <v>86</v>
      </c>
      <c r="H83" s="109" t="s">
        <v>86</v>
      </c>
      <c r="I83" s="109" t="s">
        <v>86</v>
      </c>
      <c r="J83" s="65">
        <f t="shared" si="8"/>
        <v>0</v>
      </c>
      <c r="K83" s="66">
        <f>IF(C83=0,"",100*D83/C83)</f>
        <v>0</v>
      </c>
    </row>
    <row r="84" spans="2:11" ht="22.5" x14ac:dyDescent="0.2">
      <c r="B84" s="106" t="s">
        <v>99</v>
      </c>
      <c r="C84" s="64">
        <f>0</f>
        <v>0</v>
      </c>
      <c r="D84" s="64">
        <f>0</f>
        <v>0</v>
      </c>
      <c r="E84" s="109" t="s">
        <v>86</v>
      </c>
      <c r="F84" s="109" t="s">
        <v>86</v>
      </c>
      <c r="G84" s="109" t="s">
        <v>86</v>
      </c>
      <c r="H84" s="109" t="s">
        <v>86</v>
      </c>
      <c r="I84" s="109" t="s">
        <v>86</v>
      </c>
      <c r="J84" s="65">
        <f t="shared" si="8"/>
        <v>0</v>
      </c>
      <c r="K84" s="66" t="str">
        <f>IF(C84=0,"",100*D84/C84)</f>
        <v/>
      </c>
    </row>
    <row r="85" spans="2:11" ht="27" customHeight="1" x14ac:dyDescent="0.2">
      <c r="B85" s="90" t="s">
        <v>47</v>
      </c>
      <c r="C85" s="43">
        <f>1671424805.41</f>
        <v>1671424805.4100001</v>
      </c>
      <c r="D85" s="43">
        <f>1339972049.41</f>
        <v>1339972049.4100001</v>
      </c>
      <c r="E85" s="108" t="s">
        <v>86</v>
      </c>
      <c r="F85" s="108" t="s">
        <v>86</v>
      </c>
      <c r="G85" s="108" t="s">
        <v>86</v>
      </c>
      <c r="H85" s="108" t="s">
        <v>86</v>
      </c>
      <c r="I85" s="108" t="s">
        <v>86</v>
      </c>
      <c r="J85" s="38">
        <f t="shared" ref="J85:J90" si="9">IF($D$85=0,"",100*$D85/$D$85)</f>
        <v>100</v>
      </c>
      <c r="K85" s="31">
        <f t="shared" si="7"/>
        <v>80.169448549096131</v>
      </c>
    </row>
    <row r="86" spans="2:11" ht="24.75" customHeight="1" x14ac:dyDescent="0.2">
      <c r="B86" s="105" t="s">
        <v>73</v>
      </c>
      <c r="C86" s="40">
        <f>758164645</f>
        <v>758164645</v>
      </c>
      <c r="D86" s="42">
        <f>746391184.25</f>
        <v>746391184.25</v>
      </c>
      <c r="E86" s="109" t="s">
        <v>86</v>
      </c>
      <c r="F86" s="109" t="s">
        <v>86</v>
      </c>
      <c r="G86" s="109" t="s">
        <v>86</v>
      </c>
      <c r="H86" s="109" t="s">
        <v>86</v>
      </c>
      <c r="I86" s="109" t="s">
        <v>86</v>
      </c>
      <c r="J86" s="45">
        <f t="shared" si="9"/>
        <v>55.701996513930403</v>
      </c>
      <c r="K86" s="46">
        <f t="shared" si="7"/>
        <v>98.44711029093159</v>
      </c>
    </row>
    <row r="87" spans="2:11" ht="12.75" customHeight="1" x14ac:dyDescent="0.2">
      <c r="B87" s="106" t="s">
        <v>74</v>
      </c>
      <c r="C87" s="64">
        <f>27000000</f>
        <v>27000000</v>
      </c>
      <c r="D87" s="64">
        <f>27000000</f>
        <v>27000000</v>
      </c>
      <c r="E87" s="109" t="s">
        <v>86</v>
      </c>
      <c r="F87" s="109" t="s">
        <v>86</v>
      </c>
      <c r="G87" s="109" t="s">
        <v>86</v>
      </c>
      <c r="H87" s="109" t="s">
        <v>86</v>
      </c>
      <c r="I87" s="109" t="s">
        <v>86</v>
      </c>
      <c r="J87" s="65">
        <f t="shared" si="9"/>
        <v>2.0149674026326374</v>
      </c>
      <c r="K87" s="66">
        <f t="shared" si="7"/>
        <v>100</v>
      </c>
    </row>
    <row r="88" spans="2:11" ht="12.75" customHeight="1" x14ac:dyDescent="0.2">
      <c r="B88" s="63" t="s">
        <v>82</v>
      </c>
      <c r="C88" s="64">
        <f>274242452.15</f>
        <v>274242452.14999998</v>
      </c>
      <c r="D88" s="64">
        <f>270869409.16</f>
        <v>270869409.16000003</v>
      </c>
      <c r="E88" s="109" t="s">
        <v>86</v>
      </c>
      <c r="F88" s="109" t="s">
        <v>86</v>
      </c>
      <c r="G88" s="109" t="s">
        <v>86</v>
      </c>
      <c r="H88" s="109" t="s">
        <v>86</v>
      </c>
      <c r="I88" s="109" t="s">
        <v>86</v>
      </c>
      <c r="J88" s="65">
        <f t="shared" si="9"/>
        <v>20.214556660287496</v>
      </c>
      <c r="K88" s="66">
        <f t="shared" si="7"/>
        <v>98.770050747593586</v>
      </c>
    </row>
    <row r="89" spans="2:11" ht="12.75" customHeight="1" x14ac:dyDescent="0.2">
      <c r="B89" s="63" t="s">
        <v>100</v>
      </c>
      <c r="C89" s="64">
        <f>639017708.26</f>
        <v>639017708.25999999</v>
      </c>
      <c r="D89" s="64">
        <f>322711456</f>
        <v>322711456</v>
      </c>
      <c r="E89" s="109" t="s">
        <v>86</v>
      </c>
      <c r="F89" s="109" t="s">
        <v>86</v>
      </c>
      <c r="G89" s="109" t="s">
        <v>86</v>
      </c>
      <c r="H89" s="109" t="s">
        <v>86</v>
      </c>
      <c r="I89" s="109" t="s">
        <v>86</v>
      </c>
      <c r="J89" s="65">
        <f t="shared" si="9"/>
        <v>24.083446825782097</v>
      </c>
      <c r="K89" s="66">
        <f>IF(C89=0,"",100*D89/C89)</f>
        <v>50.50117576220547</v>
      </c>
    </row>
    <row r="90" spans="2:11" ht="22.5" x14ac:dyDescent="0.2">
      <c r="B90" s="106" t="s">
        <v>101</v>
      </c>
      <c r="C90" s="64">
        <f>339017708.26</f>
        <v>339017708.25999999</v>
      </c>
      <c r="D90" s="64">
        <f>322711456</f>
        <v>322711456</v>
      </c>
      <c r="E90" s="109" t="s">
        <v>86</v>
      </c>
      <c r="F90" s="109" t="s">
        <v>86</v>
      </c>
      <c r="G90" s="109" t="s">
        <v>86</v>
      </c>
      <c r="H90" s="109" t="s">
        <v>86</v>
      </c>
      <c r="I90" s="109" t="s">
        <v>86</v>
      </c>
      <c r="J90" s="65">
        <f t="shared" si="9"/>
        <v>24.083446825782097</v>
      </c>
      <c r="K90" s="66">
        <f>IF(C90=0,"",100*D90/C90)</f>
        <v>95.190147339591363</v>
      </c>
    </row>
    <row r="92" spans="2:11" x14ac:dyDescent="0.2">
      <c r="B92" s="37" t="s">
        <v>16</v>
      </c>
      <c r="C92" s="70" t="s">
        <v>17</v>
      </c>
      <c r="D92" s="16" t="s">
        <v>1</v>
      </c>
    </row>
    <row r="93" spans="2:11" x14ac:dyDescent="0.2">
      <c r="B93" s="37"/>
      <c r="C93" s="126" t="s">
        <v>60</v>
      </c>
      <c r="D93" s="127"/>
    </row>
    <row r="94" spans="2:11" x14ac:dyDescent="0.2">
      <c r="B94" s="35">
        <v>1</v>
      </c>
      <c r="C94" s="89">
        <v>2</v>
      </c>
      <c r="D94" s="36">
        <v>3</v>
      </c>
    </row>
    <row r="95" spans="2:11" ht="36" customHeight="1" x14ac:dyDescent="0.2">
      <c r="B95" s="44" t="s">
        <v>104</v>
      </c>
      <c r="C95" s="41">
        <f>1042798320.86</f>
        <v>1042798320.86</v>
      </c>
      <c r="D95" s="24">
        <f>154981432.49</f>
        <v>154981432.49000001</v>
      </c>
    </row>
    <row r="96" spans="2:11" ht="33.75" x14ac:dyDescent="0.2">
      <c r="B96" s="107" t="s">
        <v>62</v>
      </c>
      <c r="C96" s="64">
        <f>244413543</f>
        <v>244413543</v>
      </c>
      <c r="D96" s="57">
        <f>40000000</f>
        <v>40000000</v>
      </c>
    </row>
    <row r="97" spans="2:4" ht="12.75" customHeight="1" x14ac:dyDescent="0.2">
      <c r="B97" s="107" t="s">
        <v>63</v>
      </c>
      <c r="C97" s="64">
        <f>516023345</f>
        <v>516023345</v>
      </c>
      <c r="D97" s="57">
        <f>97330718.91</f>
        <v>97330718.909999996</v>
      </c>
    </row>
    <row r="98" spans="2:4" ht="22.5" x14ac:dyDescent="0.2">
      <c r="B98" s="107" t="s">
        <v>64</v>
      </c>
      <c r="C98" s="64">
        <f>0</f>
        <v>0</v>
      </c>
      <c r="D98" s="57">
        <f>0</f>
        <v>0</v>
      </c>
    </row>
    <row r="99" spans="2:4" ht="56.25" x14ac:dyDescent="0.2">
      <c r="B99" s="107" t="s">
        <v>83</v>
      </c>
      <c r="C99" s="64">
        <f>0</f>
        <v>0</v>
      </c>
      <c r="D99" s="57">
        <f>0</f>
        <v>0</v>
      </c>
    </row>
    <row r="100" spans="2:4" ht="81" customHeight="1" x14ac:dyDescent="0.2">
      <c r="B100" s="107" t="s">
        <v>65</v>
      </c>
      <c r="C100" s="64">
        <f>180741410.25</f>
        <v>180741410.25</v>
      </c>
      <c r="D100" s="57">
        <f>5718516</f>
        <v>5718516</v>
      </c>
    </row>
    <row r="101" spans="2:4" ht="151.5" customHeight="1" x14ac:dyDescent="0.2">
      <c r="B101" s="107" t="s">
        <v>84</v>
      </c>
      <c r="C101" s="64">
        <f>98928150.61</f>
        <v>98928150.609999999</v>
      </c>
      <c r="D101" s="57">
        <f>11932197.58</f>
        <v>11932197.58</v>
      </c>
    </row>
    <row r="102" spans="2:4" ht="23.25" customHeight="1" x14ac:dyDescent="0.2">
      <c r="B102" s="107" t="s">
        <v>85</v>
      </c>
      <c r="C102" s="64">
        <f>2691872</f>
        <v>2691872</v>
      </c>
      <c r="D102" s="57">
        <f>0</f>
        <v>0</v>
      </c>
    </row>
    <row r="103" spans="2:4" ht="23.25" customHeight="1" x14ac:dyDescent="0.2">
      <c r="B103" s="120" t="s">
        <v>99</v>
      </c>
      <c r="C103" s="64">
        <f>0</f>
        <v>0</v>
      </c>
      <c r="D103" s="57">
        <f>0</f>
        <v>0</v>
      </c>
    </row>
    <row r="105" spans="2:4" x14ac:dyDescent="0.2">
      <c r="B105" s="33" t="s">
        <v>48</v>
      </c>
      <c r="C105" s="33">
        <f>4</f>
        <v>4</v>
      </c>
      <c r="D105" s="33" t="str">
        <f>IF(C105=1,"I Kwartał",IF(C105=2,"II Kwartały",IF(C105=3,"III Kwartały",IF(C105=4,"IV Kwartały",IF(C105="M1","Styczeń",IF(C105="M11","Listopad",IF(C105="M12","Grudzień","-")))))))</f>
        <v>IV Kwartały</v>
      </c>
    </row>
    <row r="106" spans="2:4" x14ac:dyDescent="0.2">
      <c r="B106" s="33" t="s">
        <v>49</v>
      </c>
      <c r="C106" s="111">
        <f>2024</f>
        <v>2024</v>
      </c>
      <c r="D106" s="34"/>
    </row>
    <row r="107" spans="2:4" x14ac:dyDescent="0.2">
      <c r="B107" s="33" t="s">
        <v>50</v>
      </c>
      <c r="C107" s="121" t="str">
        <f>"Mar 18 2025 12:00AM"</f>
        <v>Mar 18 2025 12:00AM</v>
      </c>
      <c r="D107" s="122"/>
    </row>
    <row r="108" spans="2:4" hidden="1" x14ac:dyDescent="0.2">
      <c r="B108" s="33" t="s">
        <v>55</v>
      </c>
      <c r="C108" s="112" t="str">
        <f>""</f>
        <v/>
      </c>
      <c r="D108" s="34"/>
    </row>
  </sheetData>
  <mergeCells count="23">
    <mergeCell ref="B2:B3"/>
    <mergeCell ref="C47:C49"/>
    <mergeCell ref="B47:B50"/>
    <mergeCell ref="F48:F49"/>
    <mergeCell ref="E3:I4"/>
    <mergeCell ref="J3:L3"/>
    <mergeCell ref="C3:D3"/>
    <mergeCell ref="I47:I49"/>
    <mergeCell ref="C50:I50"/>
    <mergeCell ref="E47:E49"/>
    <mergeCell ref="J50:K50"/>
    <mergeCell ref="K47:K49"/>
    <mergeCell ref="C107:D107"/>
    <mergeCell ref="F47:H47"/>
    <mergeCell ref="G48:H48"/>
    <mergeCell ref="C72:D72"/>
    <mergeCell ref="J47:J49"/>
    <mergeCell ref="D47:D49"/>
    <mergeCell ref="C93:D93"/>
    <mergeCell ref="I63:J63"/>
    <mergeCell ref="E71:I73"/>
    <mergeCell ref="J72:K72"/>
    <mergeCell ref="I62:J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4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2025-03-28T13:26:33Z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