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doch_wyd" sheetId="4" r:id="rId1"/>
  </sheets>
  <calcPr calcId="152511"/>
</workbook>
</file>

<file path=xl/calcChain.xml><?xml version="1.0" encoding="utf-8"?>
<calcChain xmlns="http://schemas.openxmlformats.org/spreadsheetml/2006/main">
  <c r="C107" i="4" l="1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J77" i="4" s="1"/>
  <c r="C77" i="4"/>
  <c r="D76" i="4"/>
  <c r="C76" i="4"/>
  <c r="D75" i="4"/>
  <c r="C75" i="4"/>
  <c r="D74" i="4"/>
  <c r="C74" i="4"/>
  <c r="D73" i="4"/>
  <c r="C73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K56" i="4" s="1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J88" i="4"/>
  <c r="J89" i="4"/>
  <c r="K89" i="4"/>
  <c r="K88" i="4"/>
  <c r="J82" i="4"/>
  <c r="J81" i="4"/>
  <c r="J83" i="4"/>
  <c r="K83" i="4"/>
  <c r="K82" i="4"/>
  <c r="K81" i="4"/>
  <c r="D104" i="4"/>
  <c r="B68" i="4" s="1"/>
  <c r="C61" i="4"/>
  <c r="K5" i="4"/>
  <c r="C40" i="4"/>
  <c r="K7" i="4"/>
  <c r="K8" i="4"/>
  <c r="K9" i="4"/>
  <c r="K13" i="4"/>
  <c r="C12" i="4"/>
  <c r="C11" i="4" s="1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C35" i="4"/>
  <c r="K36" i="4"/>
  <c r="K37" i="4"/>
  <c r="K38" i="4"/>
  <c r="K39" i="4"/>
  <c r="K41" i="4"/>
  <c r="K51" i="4"/>
  <c r="C54" i="4"/>
  <c r="E54" i="4"/>
  <c r="E60" i="4" s="1"/>
  <c r="G54" i="4"/>
  <c r="G60" i="4"/>
  <c r="I54" i="4"/>
  <c r="I60" i="4"/>
  <c r="K53" i="4"/>
  <c r="K58" i="4"/>
  <c r="C67" i="4"/>
  <c r="K67" i="4"/>
  <c r="K65" i="4"/>
  <c r="E67" i="4"/>
  <c r="G67" i="4"/>
  <c r="I67" i="4"/>
  <c r="K73" i="4"/>
  <c r="K74" i="4"/>
  <c r="K75" i="4"/>
  <c r="K76" i="4"/>
  <c r="K78" i="4"/>
  <c r="K79" i="4"/>
  <c r="K80" i="4"/>
  <c r="K84" i="4"/>
  <c r="K85" i="4"/>
  <c r="K86" i="4"/>
  <c r="K87" i="4"/>
  <c r="J32" i="4"/>
  <c r="J7" i="4"/>
  <c r="J31" i="4"/>
  <c r="J26" i="4"/>
  <c r="J24" i="4"/>
  <c r="J20" i="4"/>
  <c r="J17" i="4"/>
  <c r="J9" i="4"/>
  <c r="J39" i="4"/>
  <c r="J13" i="4"/>
  <c r="J23" i="4"/>
  <c r="J28" i="4"/>
  <c r="J22" i="4"/>
  <c r="D40" i="4"/>
  <c r="D42" i="4"/>
  <c r="J42" i="4" s="1"/>
  <c r="J30" i="4"/>
  <c r="J38" i="4"/>
  <c r="J15" i="4"/>
  <c r="J41" i="4"/>
  <c r="J40" i="4"/>
  <c r="J27" i="4"/>
  <c r="J19" i="4"/>
  <c r="J8" i="4"/>
  <c r="J36" i="4"/>
  <c r="J21" i="4"/>
  <c r="J25" i="4"/>
  <c r="J14" i="4"/>
  <c r="J16" i="4"/>
  <c r="J18" i="4"/>
  <c r="D61" i="4"/>
  <c r="J37" i="4"/>
  <c r="J5" i="4"/>
  <c r="J34" i="4"/>
  <c r="J33" i="4"/>
  <c r="J29" i="4"/>
  <c r="D12" i="4"/>
  <c r="J12" i="4" s="1"/>
  <c r="D11" i="4"/>
  <c r="D35" i="4"/>
  <c r="J35" i="4" s="1"/>
  <c r="J59" i="4"/>
  <c r="J58" i="4"/>
  <c r="J51" i="4"/>
  <c r="J53" i="4"/>
  <c r="J57" i="4"/>
  <c r="D54" i="4"/>
  <c r="D60" i="4" s="1"/>
  <c r="J55" i="4"/>
  <c r="J52" i="4"/>
  <c r="F54" i="4"/>
  <c r="F60" i="4" s="1"/>
  <c r="H54" i="4"/>
  <c r="H60" i="4"/>
  <c r="K52" i="4"/>
  <c r="K55" i="4"/>
  <c r="K57" i="4"/>
  <c r="K59" i="4"/>
  <c r="D67" i="4"/>
  <c r="J67" i="4"/>
  <c r="J66" i="4"/>
  <c r="J65" i="4"/>
  <c r="F67" i="4"/>
  <c r="H67" i="4"/>
  <c r="K66" i="4"/>
  <c r="J80" i="4"/>
  <c r="J74" i="4"/>
  <c r="J79" i="4"/>
  <c r="J76" i="4"/>
  <c r="J75" i="4"/>
  <c r="J78" i="4"/>
  <c r="J73" i="4"/>
  <c r="J87" i="4"/>
  <c r="J85" i="4"/>
  <c r="J84" i="4"/>
  <c r="J86" i="4"/>
  <c r="J54" i="4"/>
  <c r="K12" i="4"/>
  <c r="C42" i="4"/>
  <c r="C62" i="4" s="1"/>
  <c r="K40" i="4"/>
  <c r="C60" i="4"/>
  <c r="B44" i="4"/>
  <c r="B1" i="4"/>
  <c r="K42" i="4" l="1"/>
  <c r="K77" i="4"/>
  <c r="J56" i="4"/>
  <c r="J60" i="4"/>
  <c r="K60" i="4"/>
  <c r="K54" i="4"/>
  <c r="D62" i="4"/>
  <c r="K35" i="4"/>
  <c r="D6" i="4"/>
  <c r="L8" i="4" s="1"/>
  <c r="J11" i="4"/>
  <c r="K11" i="4"/>
  <c r="C6" i="4"/>
  <c r="J6" i="4" l="1"/>
  <c r="L7" i="4"/>
  <c r="L9" i="4"/>
  <c r="L6" i="4"/>
  <c r="D10" i="4"/>
  <c r="J10" i="4" s="1"/>
  <c r="C10" i="4"/>
  <c r="K6" i="4"/>
  <c r="K10" i="4" l="1"/>
  <c r="L10" i="4"/>
</calcChain>
</file>

<file path=xl/sharedStrings.xml><?xml version="1.0" encoding="utf-8"?>
<sst xmlns="http://schemas.openxmlformats.org/spreadsheetml/2006/main" count="400" uniqueCount="105">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</sst>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4" fontId="12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4" fontId="11" fillId="21" borderId="10" xfId="28" applyNumberFormat="1" applyFont="1" applyFill="1" applyBorder="1" applyAlignment="1">
      <alignment horizontal="right" vertical="center"/>
    </xf>
    <xf numFmtId="164" fontId="11" fillId="21" borderId="10" xfId="0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4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4" fontId="11" fillId="0" borderId="10" xfId="28" applyNumberFormat="1" applyFont="1" applyFill="1" applyBorder="1" applyAlignment="1">
      <alignment horizontal="right" vertical="center"/>
    </xf>
    <xf numFmtId="164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4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4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4" fontId="4" fillId="22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5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</cellXfs>
  <cellStyles count="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4" xfId="32"/>
    <cellStyle name="Dziesiętny 5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ny" xfId="0" builtinId="0"/>
    <cellStyle name="Normalny 2" xfId="43"/>
    <cellStyle name="Normalny 2 2" xfId="44"/>
    <cellStyle name="Note" xfId="45"/>
    <cellStyle name="Output" xfId="46"/>
    <cellStyle name="Title" xfId="47"/>
    <cellStyle name="Total" xfId="48"/>
    <cellStyle name="Warning Text" xfId="4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7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",$D$104," ",$C$105," rok    ",$C$107,"")</f>
        <v xml:space="preserve">Informacja z wykonania budżetów województw za I Kwartał 2023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21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1"/>
      <c r="C3" s="131" t="s">
        <v>60</v>
      </c>
      <c r="D3" s="133"/>
      <c r="E3" s="125" t="s">
        <v>86</v>
      </c>
      <c r="F3" s="126"/>
      <c r="G3" s="126"/>
      <c r="H3" s="126"/>
      <c r="I3" s="127"/>
      <c r="J3" s="131" t="s">
        <v>4</v>
      </c>
      <c r="K3" s="132"/>
      <c r="L3" s="133"/>
    </row>
    <row r="4" spans="2:17" ht="9" customHeight="1" x14ac:dyDescent="0.2">
      <c r="B4" s="14">
        <v>1</v>
      </c>
      <c r="C4" s="16">
        <v>2</v>
      </c>
      <c r="D4" s="16">
        <v>3</v>
      </c>
      <c r="E4" s="128"/>
      <c r="F4" s="129"/>
      <c r="G4" s="129"/>
      <c r="H4" s="129"/>
      <c r="I4" s="130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31125421522.51</f>
        <v>31125421522.509998</v>
      </c>
      <c r="D5" s="55">
        <f>7353025827.58</f>
        <v>7353025827.5799999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39" si="0">IF($D$5=0,"",100*$D5/$D$5)</f>
        <v>100</v>
      </c>
      <c r="K5" s="56">
        <f t="shared" ref="K5:K42" si="1">IF(C5=0,"",100*D5/C5)</f>
        <v>23.623859430344645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17859083236.849998</v>
      </c>
      <c r="D6" s="22">
        <f>D5-D11-D35</f>
        <v>4372349304.2799997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59.463265964333097</v>
      </c>
      <c r="K6" s="29">
        <f t="shared" si="1"/>
        <v>24.482495805037743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14074450001</f>
        <v>14074450001</v>
      </c>
      <c r="D7" s="20">
        <f>3518612475</f>
        <v>3518612475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47.852578754752351</v>
      </c>
      <c r="K7" s="30">
        <f t="shared" si="1"/>
        <v>24.999999820596898</v>
      </c>
      <c r="L7" s="30">
        <f>IF($D$6=0,"",100*$D7/$D$6)</f>
        <v>80.474185160725952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1647296000</f>
        <v>1647296000</v>
      </c>
      <c r="D8" s="21">
        <f>411823980</f>
        <v>411823980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5.6007416491767978</v>
      </c>
      <c r="K8" s="30">
        <f t="shared" si="1"/>
        <v>24.999998785889119</v>
      </c>
      <c r="L8" s="30">
        <f>IF($D$6=0,"",100*$D8/$D$6)</f>
        <v>9.4188261582137152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173869664.52</f>
        <v>173869664.52000001</v>
      </c>
      <c r="D9" s="57">
        <f>44902870.82</f>
        <v>44902870.82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0.6106720127593821</v>
      </c>
      <c r="K9" s="30">
        <f t="shared" si="1"/>
        <v>25.825592373438369</v>
      </c>
      <c r="L9" s="30">
        <f>IF($D$6=0,"",100*$D9/$D$6)</f>
        <v>1.0269735488892786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1963467571.3299985</v>
      </c>
      <c r="D10" s="21">
        <f>D6-D7-D8-D9</f>
        <v>397009978.45999974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5.3992735476445644</v>
      </c>
      <c r="K10" s="30">
        <f t="shared" si="1"/>
        <v>20.219838832941672</v>
      </c>
      <c r="L10" s="30">
        <f>IF($D$6=0,"",100*$D10/$D$6)</f>
        <v>9.080015132171054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7818666728.6599998</v>
      </c>
      <c r="D11" s="55">
        <f>D12+D31+D33</f>
        <v>1591783832.3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21.648010895453115</v>
      </c>
      <c r="K11" s="56">
        <f t="shared" si="1"/>
        <v>20.358763041596063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2330210564.6599998</v>
      </c>
      <c r="D12" s="55">
        <f>D13+D15+D17+D19+D21+D23+D25+D27+D29</f>
        <v>699647937.57999992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9.5151024079873991</v>
      </c>
      <c r="K12" s="56">
        <f t="shared" si="1"/>
        <v>30.025095078997094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1248983797.25</f>
        <v>1248983797.25</v>
      </c>
      <c r="D13" s="21">
        <f>542147979.5</f>
        <v>542147979.5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7.3731276376929262</v>
      </c>
      <c r="K13" s="30">
        <f t="shared" si="1"/>
        <v>43.407126713228465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150000</f>
        <v>150000</v>
      </c>
      <c r="D14" s="21">
        <f>0</f>
        <v>0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65255134.56</f>
        <v>65255134.560000002</v>
      </c>
      <c r="D15" s="21">
        <f>9850468.22</f>
        <v>9850468.2200000007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0.13396482551513014</v>
      </c>
      <c r="K15" s="30">
        <f t="shared" si="1"/>
        <v>15.095315160131671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38680134.56</f>
        <v>38680134.560000002</v>
      </c>
      <c r="D16" s="21">
        <f>3330904.51</f>
        <v>3330904.51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4.5299779819979971E-2</v>
      </c>
      <c r="K16" s="30">
        <f t="shared" si="1"/>
        <v>8.61140879650549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76321725</f>
        <v>76321725</v>
      </c>
      <c r="D17" s="21">
        <f>13453330.54</f>
        <v>13453330.539999999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0.1829631889709778</v>
      </c>
      <c r="K17" s="30">
        <f t="shared" si="1"/>
        <v>17.627131121577769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30130446</f>
        <v>30130446</v>
      </c>
      <c r="D18" s="21">
        <f>0</f>
        <v>0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57723233.49</f>
        <v>57723233.490000002</v>
      </c>
      <c r="D19" s="21">
        <f>12950305.74</f>
        <v>12950305.74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0.17612213044901212</v>
      </c>
      <c r="K19" s="30">
        <f t="shared" si="1"/>
        <v>22.43517030667299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8552745.16</f>
        <v>8552745.1600000001</v>
      </c>
      <c r="D20" s="21">
        <f>2066971.51</f>
        <v>2066971.51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2.8110488912566133E-2</v>
      </c>
      <c r="K20" s="30">
        <f t="shared" si="1"/>
        <v>24.167345937850907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186126863.75</f>
        <v>186126863.75</v>
      </c>
      <c r="D21" s="21">
        <f>33954262.12</f>
        <v>33954262.119999997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0.46177264865088735</v>
      </c>
      <c r="K21" s="30">
        <f t="shared" si="1"/>
        <v>18.242537071707357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119733078.08</f>
        <v>119733078.08</v>
      </c>
      <c r="D22" s="21">
        <f>20240114.04</f>
        <v>20240114.039999999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0.27526238197182218</v>
      </c>
      <c r="K22" s="30">
        <f t="shared" si="1"/>
        <v>16.904362908365648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81105576</f>
        <v>81105576</v>
      </c>
      <c r="D23" s="21">
        <f>45549242.02</f>
        <v>45549242.020000003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0.61946255987776111</v>
      </c>
      <c r="K23" s="30">
        <f t="shared" si="1"/>
        <v>56.16043220012395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34117222</f>
        <v>34117222</v>
      </c>
      <c r="D24" s="21">
        <f>14606595.08</f>
        <v>14606595.08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0.19864740614962953</v>
      </c>
      <c r="K24" s="30">
        <f t="shared" si="1"/>
        <v>42.812967245691929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0</f>
        <v>0</v>
      </c>
      <c r="D25" s="21">
        <f>0</f>
        <v>0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0</f>
        <v>0</v>
      </c>
      <c r="D26" s="21">
        <f>0</f>
        <v>0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604168582.61</f>
        <v>604168582.61000001</v>
      </c>
      <c r="D27" s="67">
        <f>20598685.51</f>
        <v>20598685.510000002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0.28013889782268536</v>
      </c>
      <c r="K27" s="68">
        <f t="shared" si="1"/>
        <v>3.4094267896245056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604168582.61</f>
        <v>604168582.61000001</v>
      </c>
      <c r="D28" s="21">
        <f>20598685.51</f>
        <v>20598685.510000002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0.28013889782268536</v>
      </c>
      <c r="K28" s="30">
        <f t="shared" si="1"/>
        <v>3.4094267896245056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10525652</f>
        <v>10525652</v>
      </c>
      <c r="D29" s="21">
        <f>21143663.93</f>
        <v>21143663.93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0.28755051900801937</v>
      </c>
      <c r="K29" s="30">
        <f t="shared" si="1"/>
        <v>200.87747466855259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893809336.73</f>
        <v>893809336.73000002</v>
      </c>
      <c r="D31" s="55">
        <f>211719494.18</f>
        <v>211719494.18000001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2.8793519721619192</v>
      </c>
      <c r="K31" s="56">
        <f t="shared" si="1"/>
        <v>23.687321834718734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540849229</f>
        <v>540849229</v>
      </c>
      <c r="D32" s="20">
        <f>111755869.24</f>
        <v>111755869.23999999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1.5198623241716624</v>
      </c>
      <c r="K32" s="30">
        <f t="shared" si="1"/>
        <v>20.663035694186039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4594646827.27</f>
        <v>4594646827.2700005</v>
      </c>
      <c r="D33" s="55">
        <f>680416400.54</f>
        <v>680416400.53999996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9.2535565153037975</v>
      </c>
      <c r="K33" s="59">
        <f t="shared" si="1"/>
        <v>14.808894483502288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2823025536.31</f>
        <v>2823025536.3099999</v>
      </c>
      <c r="D34" s="20">
        <f>252951935.32</f>
        <v>252951935.31999999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3.4401067159484002</v>
      </c>
      <c r="K34" s="30">
        <f t="shared" si="1"/>
        <v>8.9603133966204069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</f>
        <v>5447671557</v>
      </c>
      <c r="D35" s="22">
        <f>D36+D37+D38+D39</f>
        <v>1388892691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18.888723140213791</v>
      </c>
      <c r="K35" s="29">
        <f t="shared" si="1"/>
        <v>25.495162042493892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787335452</f>
        <v>787335452</v>
      </c>
      <c r="D36" s="21">
        <f>303808660</f>
        <v>303808660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4.1317502090154949</v>
      </c>
      <c r="K36" s="30">
        <f t="shared" si="1"/>
        <v>38.586940195346365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1169058479</f>
        <v>1169058479</v>
      </c>
      <c r="D37" s="21">
        <f>292264620</f>
        <v>292264620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3.974753072453018</v>
      </c>
      <c r="K37" s="30">
        <f t="shared" si="1"/>
        <v>25.000000021384729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3171277626</f>
        <v>3171277626</v>
      </c>
      <c r="D38" s="21">
        <f>792819411</f>
        <v>792819411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10.782219858745277</v>
      </c>
      <c r="K38" s="30">
        <f t="shared" si="1"/>
        <v>25.000000141898646</v>
      </c>
      <c r="L38" s="27"/>
      <c r="M38" s="34"/>
      <c r="N38" s="34"/>
      <c r="O38" s="34"/>
      <c r="P38" s="34"/>
      <c r="Q38" s="34"/>
    </row>
    <row r="39" spans="1:26" s="5" customFormat="1" ht="12.75" customHeight="1" outlineLevel="1" x14ac:dyDescent="0.2">
      <c r="B39" s="60" t="s">
        <v>28</v>
      </c>
      <c r="C39" s="21">
        <f>320000000</f>
        <v>320000000</v>
      </c>
      <c r="D39" s="21">
        <f>0</f>
        <v>0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0</v>
      </c>
      <c r="K39" s="30">
        <f t="shared" si="1"/>
        <v>0</v>
      </c>
      <c r="L39" s="27"/>
      <c r="M39" s="48"/>
      <c r="N39" s="48"/>
      <c r="O39" s="48"/>
      <c r="P39" s="48"/>
      <c r="Q39" s="48"/>
    </row>
    <row r="40" spans="1:26" s="5" customFormat="1" x14ac:dyDescent="0.2">
      <c r="B40" s="98" t="s">
        <v>93</v>
      </c>
      <c r="C40" s="55">
        <f>+C5</f>
        <v>31125421522.509998</v>
      </c>
      <c r="D40" s="55">
        <f>+D5</f>
        <v>7353025827.5799999</v>
      </c>
      <c r="E40" s="94" t="s">
        <v>86</v>
      </c>
      <c r="F40" s="94" t="s">
        <v>86</v>
      </c>
      <c r="G40" s="94" t="s">
        <v>86</v>
      </c>
      <c r="H40" s="94" t="s">
        <v>86</v>
      </c>
      <c r="I40" s="94" t="s">
        <v>86</v>
      </c>
      <c r="J40" s="59">
        <f>IF($D$5=0,"",100*$D40/$D$40)</f>
        <v>100</v>
      </c>
      <c r="K40" s="91">
        <f t="shared" si="1"/>
        <v>23.623859430344645</v>
      </c>
      <c r="L40" s="93"/>
      <c r="M40" s="48"/>
      <c r="N40" s="48"/>
      <c r="O40" s="48"/>
      <c r="P40" s="48"/>
      <c r="Q40" s="48"/>
    </row>
    <row r="41" spans="1:26" s="5" customFormat="1" x14ac:dyDescent="0.2">
      <c r="B41" s="99" t="s">
        <v>56</v>
      </c>
      <c r="C41" s="21">
        <f>5132463126.88</f>
        <v>5132463126.8800001</v>
      </c>
      <c r="D41" s="21">
        <f>479240292.8</f>
        <v>479240292.80000001</v>
      </c>
      <c r="E41" s="110" t="s">
        <v>86</v>
      </c>
      <c r="F41" s="110" t="s">
        <v>86</v>
      </c>
      <c r="G41" s="110" t="s">
        <v>86</v>
      </c>
      <c r="H41" s="110" t="s">
        <v>86</v>
      </c>
      <c r="I41" s="110" t="s">
        <v>86</v>
      </c>
      <c r="J41" s="30">
        <f>IF($D$5=0,"",100*$D41/$D$40)</f>
        <v>6.5175929479595718</v>
      </c>
      <c r="K41" s="92">
        <f t="shared" si="1"/>
        <v>9.3374327482276112</v>
      </c>
      <c r="L41" s="93"/>
      <c r="M41" s="48"/>
      <c r="N41" s="48"/>
      <c r="O41" s="48"/>
      <c r="P41" s="48"/>
      <c r="Q41" s="48"/>
    </row>
    <row r="42" spans="1:26" s="5" customFormat="1" x14ac:dyDescent="0.2">
      <c r="A42" s="2"/>
      <c r="B42" s="99" t="s">
        <v>57</v>
      </c>
      <c r="C42" s="21">
        <f>C40-C41</f>
        <v>25992958395.629997</v>
      </c>
      <c r="D42" s="21">
        <f>D40-D41</f>
        <v>6873785534.7799997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IF($D$5=0,"",100*$D42/$D$40)</f>
        <v>93.482407052040429</v>
      </c>
      <c r="K42" s="92">
        <f t="shared" si="1"/>
        <v>26.444798741860943</v>
      </c>
      <c r="L42" s="93"/>
      <c r="M42" s="49"/>
      <c r="N42" s="49"/>
      <c r="O42" s="50"/>
      <c r="P42" s="50"/>
      <c r="Q42" s="19"/>
    </row>
    <row r="43" spans="1:26" s="5" customFormat="1" x14ac:dyDescent="0.2">
      <c r="A43" s="2"/>
      <c r="B43" s="119" t="s">
        <v>96</v>
      </c>
      <c r="C43" s="87"/>
      <c r="D43" s="87"/>
      <c r="E43" s="118"/>
      <c r="F43" s="118"/>
      <c r="G43" s="118"/>
      <c r="H43" s="118"/>
      <c r="I43" s="118"/>
      <c r="J43" s="58"/>
      <c r="K43" s="58"/>
      <c r="L43" s="58"/>
      <c r="M43" s="49"/>
      <c r="N43" s="49"/>
      <c r="O43" s="50"/>
      <c r="P43" s="50"/>
      <c r="Q43" s="19"/>
    </row>
    <row r="44" spans="1:26" ht="18" customHeight="1" x14ac:dyDescent="0.2">
      <c r="B44" s="100" t="str">
        <f>CONCATENATE("Informacja z wykonania budżetów województw za ",$D$104," ",$C$105," rok    ",$C$107,"")</f>
        <v xml:space="preserve">Informacja z wykonania budżetów województw za I Kwartał 2023 rok    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</row>
    <row r="45" spans="1:26" s="5" customFormat="1" ht="10.5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21" t="s">
        <v>0</v>
      </c>
      <c r="C46" s="122" t="s">
        <v>36</v>
      </c>
      <c r="D46" s="122" t="s">
        <v>38</v>
      </c>
      <c r="E46" s="122" t="s">
        <v>37</v>
      </c>
      <c r="F46" s="122" t="s">
        <v>12</v>
      </c>
      <c r="G46" s="122"/>
      <c r="H46" s="122"/>
      <c r="I46" s="134" t="s">
        <v>68</v>
      </c>
      <c r="J46" s="122" t="s">
        <v>2</v>
      </c>
      <c r="K46" s="156" t="s">
        <v>18</v>
      </c>
      <c r="M46" s="10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21"/>
      <c r="C47" s="122"/>
      <c r="D47" s="122"/>
      <c r="E47" s="124"/>
      <c r="F47" s="123" t="s">
        <v>39</v>
      </c>
      <c r="G47" s="139" t="s">
        <v>24</v>
      </c>
      <c r="H47" s="124"/>
      <c r="I47" s="135"/>
      <c r="J47" s="122"/>
      <c r="K47" s="156"/>
      <c r="L47" s="11"/>
      <c r="M47" s="12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5.5" customHeight="1" x14ac:dyDescent="0.2">
      <c r="B48" s="121"/>
      <c r="C48" s="122"/>
      <c r="D48" s="122"/>
      <c r="E48" s="124"/>
      <c r="F48" s="124"/>
      <c r="G48" s="15" t="s">
        <v>34</v>
      </c>
      <c r="H48" s="15" t="s">
        <v>35</v>
      </c>
      <c r="I48" s="136"/>
      <c r="J48" s="122"/>
      <c r="K48" s="156"/>
      <c r="L48" s="11"/>
      <c r="M48" s="10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21"/>
      <c r="C49" s="131" t="s">
        <v>60</v>
      </c>
      <c r="D49" s="132"/>
      <c r="E49" s="132"/>
      <c r="F49" s="132"/>
      <c r="G49" s="132"/>
      <c r="H49" s="132"/>
      <c r="I49" s="133"/>
      <c r="J49" s="155" t="s">
        <v>4</v>
      </c>
      <c r="K49" s="155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4">
        <v>1</v>
      </c>
      <c r="C50" s="16">
        <v>2</v>
      </c>
      <c r="D50" s="16">
        <v>3</v>
      </c>
      <c r="E50" s="16">
        <v>4</v>
      </c>
      <c r="F50" s="14">
        <v>5</v>
      </c>
      <c r="G50" s="14">
        <v>6</v>
      </c>
      <c r="H50" s="16">
        <v>7</v>
      </c>
      <c r="I50" s="16">
        <v>8</v>
      </c>
      <c r="J50" s="14">
        <v>9</v>
      </c>
      <c r="K50" s="16">
        <v>10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7" customHeight="1" x14ac:dyDescent="0.2">
      <c r="B51" s="95" t="s">
        <v>44</v>
      </c>
      <c r="C51" s="61">
        <f>35228156389.74</f>
        <v>35228156389.739998</v>
      </c>
      <c r="D51" s="72">
        <f>4882730681.39</f>
        <v>4882730681.3900003</v>
      </c>
      <c r="E51" s="72">
        <f>20602816665.1</f>
        <v>20602816665.099998</v>
      </c>
      <c r="F51" s="61">
        <f>365050525.53</f>
        <v>365050525.52999997</v>
      </c>
      <c r="G51" s="61">
        <f>0</f>
        <v>0</v>
      </c>
      <c r="H51" s="61">
        <f>249096.18</f>
        <v>249096.18</v>
      </c>
      <c r="I51" s="73">
        <f>0</f>
        <v>0</v>
      </c>
      <c r="J51" s="47">
        <f>IF($D$51=0,"",100*$D51/$D$51)</f>
        <v>100</v>
      </c>
      <c r="K51" s="47">
        <f>IF(C51=0,"",100*D51/C51)</f>
        <v>13.860307157067318</v>
      </c>
      <c r="L51" s="34"/>
      <c r="O51" s="88"/>
    </row>
    <row r="52" spans="2:26" x14ac:dyDescent="0.2">
      <c r="B52" s="96" t="s">
        <v>14</v>
      </c>
      <c r="C52" s="23">
        <f>14832274131.49</f>
        <v>14832274131.49</v>
      </c>
      <c r="D52" s="23">
        <f>849629114.47</f>
        <v>849629114.47000003</v>
      </c>
      <c r="E52" s="23">
        <f>8207789654.86</f>
        <v>8207789654.8599997</v>
      </c>
      <c r="F52" s="23">
        <f>92692500.96</f>
        <v>92692500.959999993</v>
      </c>
      <c r="G52" s="23">
        <f>0</f>
        <v>0</v>
      </c>
      <c r="H52" s="23">
        <f>192159.18</f>
        <v>192159.18</v>
      </c>
      <c r="I52" s="74">
        <f>0</f>
        <v>0</v>
      </c>
      <c r="J52" s="47">
        <f t="shared" ref="J52:J60" si="2">IF($D$51=0,"",100*$D52/$D$51)</f>
        <v>17.400695838258486</v>
      </c>
      <c r="K52" s="47">
        <f t="shared" ref="K52:K60" si="3">IF(C52=0,"",100*D52/C52)</f>
        <v>5.7282457628407464</v>
      </c>
      <c r="L52" s="34"/>
      <c r="O52" s="81"/>
    </row>
    <row r="53" spans="2:26" ht="12.75" customHeight="1" outlineLevel="1" x14ac:dyDescent="0.2">
      <c r="B53" s="28" t="s">
        <v>13</v>
      </c>
      <c r="C53" s="20">
        <f>14338694193.49</f>
        <v>14338694193.49</v>
      </c>
      <c r="D53" s="20">
        <f>766446624.47</f>
        <v>766446624.47000003</v>
      </c>
      <c r="E53" s="20">
        <f>8054001134.36</f>
        <v>8054001134.3599997</v>
      </c>
      <c r="F53" s="20">
        <f>92692500.96</f>
        <v>92692500.959999993</v>
      </c>
      <c r="G53" s="20">
        <f>0</f>
        <v>0</v>
      </c>
      <c r="H53" s="20">
        <f>192159.18</f>
        <v>192159.18</v>
      </c>
      <c r="I53" s="75">
        <f>0</f>
        <v>0</v>
      </c>
      <c r="J53" s="47">
        <f t="shared" si="2"/>
        <v>15.697089896668444</v>
      </c>
      <c r="K53" s="47">
        <f t="shared" si="3"/>
        <v>5.3453028157750877</v>
      </c>
      <c r="L53" s="34"/>
      <c r="O53" s="87"/>
    </row>
    <row r="54" spans="2:26" ht="27" customHeight="1" x14ac:dyDescent="0.2">
      <c r="B54" s="96" t="s">
        <v>45</v>
      </c>
      <c r="C54" s="23">
        <f t="shared" ref="C54:I54" si="4">C51-C52</f>
        <v>20395882258.25</v>
      </c>
      <c r="D54" s="23">
        <f>D51-D52</f>
        <v>4033101566.9200001</v>
      </c>
      <c r="E54" s="23">
        <f>E51-E52</f>
        <v>12395027010.239998</v>
      </c>
      <c r="F54" s="23">
        <f t="shared" si="4"/>
        <v>272358024.56999999</v>
      </c>
      <c r="G54" s="23">
        <f t="shared" si="4"/>
        <v>0</v>
      </c>
      <c r="H54" s="23">
        <f t="shared" si="4"/>
        <v>56937</v>
      </c>
      <c r="I54" s="74">
        <f t="shared" si="4"/>
        <v>0</v>
      </c>
      <c r="J54" s="47">
        <f t="shared" si="2"/>
        <v>82.5993041617415</v>
      </c>
      <c r="K54" s="47">
        <f t="shared" si="3"/>
        <v>19.774097123396743</v>
      </c>
      <c r="L54" s="34"/>
      <c r="O54" s="81"/>
    </row>
    <row r="55" spans="2:26" ht="22.5" outlineLevel="1" x14ac:dyDescent="0.2">
      <c r="B55" s="28" t="s">
        <v>79</v>
      </c>
      <c r="C55" s="20">
        <f>4689834320.3</f>
        <v>4689834320.3000002</v>
      </c>
      <c r="D55" s="20">
        <f>1169636280.44</f>
        <v>1169636280.4400001</v>
      </c>
      <c r="E55" s="20">
        <f>3773581781.88</f>
        <v>3773581781.8800001</v>
      </c>
      <c r="F55" s="20">
        <f>63633501.06</f>
        <v>63633501.060000002</v>
      </c>
      <c r="G55" s="20">
        <f>0</f>
        <v>0</v>
      </c>
      <c r="H55" s="20">
        <f>0</f>
        <v>0</v>
      </c>
      <c r="I55" s="75">
        <f>0</f>
        <v>0</v>
      </c>
      <c r="J55" s="47">
        <f t="shared" si="2"/>
        <v>23.954552416702853</v>
      </c>
      <c r="K55" s="47">
        <f t="shared" si="3"/>
        <v>24.939820909604766</v>
      </c>
      <c r="L55" s="34"/>
      <c r="O55" s="87"/>
    </row>
    <row r="56" spans="2:26" ht="12.75" customHeight="1" outlineLevel="1" x14ac:dyDescent="0.2">
      <c r="B56" s="60" t="s">
        <v>33</v>
      </c>
      <c r="C56" s="62">
        <f>7752911341.58</f>
        <v>7752911341.5799999</v>
      </c>
      <c r="D56" s="62">
        <f>1866707104.93</f>
        <v>1866707104.9300001</v>
      </c>
      <c r="E56" s="62">
        <f>5745160407.17</f>
        <v>5745160407.1700001</v>
      </c>
      <c r="F56" s="62">
        <f>27495006.42</f>
        <v>27495006.420000002</v>
      </c>
      <c r="G56" s="62">
        <f>0</f>
        <v>0</v>
      </c>
      <c r="H56" s="62">
        <f>0</f>
        <v>0</v>
      </c>
      <c r="I56" s="76">
        <f>0</f>
        <v>0</v>
      </c>
      <c r="J56" s="47">
        <f t="shared" si="2"/>
        <v>38.23080212154138</v>
      </c>
      <c r="K56" s="47">
        <f t="shared" si="3"/>
        <v>24.077498409127628</v>
      </c>
      <c r="L56" s="34"/>
      <c r="O56" s="81"/>
    </row>
    <row r="57" spans="2:26" ht="12.75" customHeight="1" outlineLevel="1" x14ac:dyDescent="0.2">
      <c r="B57" s="60" t="s">
        <v>32</v>
      </c>
      <c r="C57" s="21">
        <f>432750992.33</f>
        <v>432750992.32999998</v>
      </c>
      <c r="D57" s="21">
        <f>60331783.15</f>
        <v>60331783.149999999</v>
      </c>
      <c r="E57" s="21">
        <f>131844279</f>
        <v>131844279</v>
      </c>
      <c r="F57" s="21">
        <f>16566214.97</f>
        <v>16566214.970000001</v>
      </c>
      <c r="G57" s="21">
        <f>0</f>
        <v>0</v>
      </c>
      <c r="H57" s="21">
        <f>0</f>
        <v>0</v>
      </c>
      <c r="I57" s="77">
        <f>0</f>
        <v>0</v>
      </c>
      <c r="J57" s="47">
        <f t="shared" si="2"/>
        <v>1.2356156234450544</v>
      </c>
      <c r="K57" s="47">
        <f t="shared" si="3"/>
        <v>13.941454605375741</v>
      </c>
      <c r="L57" s="34"/>
      <c r="O57" s="87"/>
    </row>
    <row r="58" spans="2:26" ht="22.5" customHeight="1" outlineLevel="1" x14ac:dyDescent="0.2">
      <c r="B58" s="60" t="s">
        <v>51</v>
      </c>
      <c r="C58" s="62">
        <f>176240086.28</f>
        <v>176240086.28</v>
      </c>
      <c r="D58" s="62">
        <f>5283371</f>
        <v>5283371</v>
      </c>
      <c r="E58" s="62">
        <f>28257601.39</f>
        <v>28257601.390000001</v>
      </c>
      <c r="F58" s="62">
        <f>0</f>
        <v>0</v>
      </c>
      <c r="G58" s="62">
        <f>0</f>
        <v>0</v>
      </c>
      <c r="H58" s="62">
        <f>0</f>
        <v>0</v>
      </c>
      <c r="I58" s="76">
        <f>0</f>
        <v>0</v>
      </c>
      <c r="J58" s="47">
        <f t="shared" si="2"/>
        <v>0.10820525121602542</v>
      </c>
      <c r="K58" s="47">
        <f t="shared" si="3"/>
        <v>2.9978259268473617</v>
      </c>
      <c r="L58" s="34"/>
      <c r="O58" s="81"/>
    </row>
    <row r="59" spans="2:26" ht="22.5" outlineLevel="1" x14ac:dyDescent="0.2">
      <c r="B59" s="60" t="s">
        <v>52</v>
      </c>
      <c r="C59" s="62">
        <f>180678388</f>
        <v>180678388</v>
      </c>
      <c r="D59" s="62">
        <f>31937586.35</f>
        <v>31937586.350000001</v>
      </c>
      <c r="E59" s="62">
        <f>83225921.83</f>
        <v>83225921.829999998</v>
      </c>
      <c r="F59" s="62">
        <f>573459.73</f>
        <v>573459.73</v>
      </c>
      <c r="G59" s="62">
        <f>0</f>
        <v>0</v>
      </c>
      <c r="H59" s="62">
        <f>0</f>
        <v>0</v>
      </c>
      <c r="I59" s="69">
        <f>0</f>
        <v>0</v>
      </c>
      <c r="J59" s="47">
        <f t="shared" si="2"/>
        <v>0.65409272872097279</v>
      </c>
      <c r="K59" s="47">
        <f t="shared" si="3"/>
        <v>17.676484002060057</v>
      </c>
      <c r="L59" s="34"/>
      <c r="O59" s="81"/>
    </row>
    <row r="60" spans="2:26" ht="12.75" customHeight="1" outlineLevel="1" x14ac:dyDescent="0.2">
      <c r="B60" s="60" t="s">
        <v>31</v>
      </c>
      <c r="C60" s="21">
        <f t="shared" ref="C60:I60" si="5">C54-C55-C56-C57-C58-C59</f>
        <v>7163467129.7600012</v>
      </c>
      <c r="D60" s="21">
        <f>D54-D55-D56-D57-D58-D59</f>
        <v>899205441.04999995</v>
      </c>
      <c r="E60" s="78">
        <f>E54-E55-E56-E57-E58-E59</f>
        <v>2632957018.9699969</v>
      </c>
      <c r="F60" s="78">
        <f t="shared" si="5"/>
        <v>164089842.38999999</v>
      </c>
      <c r="G60" s="78">
        <f t="shared" si="5"/>
        <v>0</v>
      </c>
      <c r="H60" s="78">
        <f t="shared" si="5"/>
        <v>56937</v>
      </c>
      <c r="I60" s="79">
        <f t="shared" si="5"/>
        <v>0</v>
      </c>
      <c r="J60" s="80">
        <f t="shared" si="2"/>
        <v>18.416036020115225</v>
      </c>
      <c r="K60" s="47">
        <f t="shared" si="3"/>
        <v>12.552656761895776</v>
      </c>
      <c r="L60" s="34"/>
      <c r="O60" s="87"/>
    </row>
    <row r="61" spans="2:26" x14ac:dyDescent="0.2">
      <c r="B61" s="17" t="s">
        <v>15</v>
      </c>
      <c r="C61" s="115">
        <f>C5-C51</f>
        <v>-4102734867.2299995</v>
      </c>
      <c r="D61" s="115">
        <f>D5-D51</f>
        <v>2470295146.1899996</v>
      </c>
      <c r="E61" s="84"/>
      <c r="F61" s="85"/>
      <c r="G61" s="85"/>
      <c r="H61" s="85"/>
      <c r="I61" s="154"/>
      <c r="J61" s="154"/>
      <c r="K61" s="25"/>
      <c r="L61" s="25"/>
      <c r="M61" s="51"/>
    </row>
    <row r="62" spans="2:26" ht="38.25" x14ac:dyDescent="0.2">
      <c r="B62" s="97" t="s">
        <v>94</v>
      </c>
      <c r="C62" s="115">
        <f>+C42-C54</f>
        <v>5597076137.3799973</v>
      </c>
      <c r="D62" s="115">
        <f>+D42-D54</f>
        <v>2840683967.8599997</v>
      </c>
      <c r="E62" s="83"/>
      <c r="F62" s="82"/>
      <c r="G62" s="82"/>
      <c r="H62" s="82"/>
      <c r="I62" s="141"/>
      <c r="J62" s="142"/>
      <c r="K62" s="34"/>
      <c r="L62" s="52"/>
      <c r="M62" s="52"/>
    </row>
    <row r="63" spans="2:26" ht="13.5" customHeight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ht="12" customHeight="1" x14ac:dyDescent="0.2">
      <c r="B64" s="116" t="s">
        <v>97</v>
      </c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27" customHeight="1" x14ac:dyDescent="0.2">
      <c r="B65" s="117" t="s">
        <v>69</v>
      </c>
      <c r="C65" s="115">
        <f>7787600244.54</f>
        <v>7787600244.54</v>
      </c>
      <c r="D65" s="115">
        <f>803685503.960002</f>
        <v>803685503.96000195</v>
      </c>
      <c r="E65" s="23">
        <f>4897064654.97</f>
        <v>4897064654.9700003</v>
      </c>
      <c r="F65" s="23">
        <f>66209937.7800001</f>
        <v>66209937.780000098</v>
      </c>
      <c r="G65" s="23">
        <f>0</f>
        <v>0</v>
      </c>
      <c r="H65" s="23">
        <f>3580</f>
        <v>3580</v>
      </c>
      <c r="I65" s="86">
        <f>0</f>
        <v>0</v>
      </c>
      <c r="J65" s="32">
        <f>IF($D$65=0,"",100*$D65/$D$65)</f>
        <v>100</v>
      </c>
      <c r="K65" s="32">
        <f>IF(C65=0,"",100*D65/C65)</f>
        <v>10.320066242787405</v>
      </c>
      <c r="L65" s="52"/>
    </row>
    <row r="66" spans="2:13" ht="12.75" customHeight="1" x14ac:dyDescent="0.2">
      <c r="B66" s="101" t="s">
        <v>58</v>
      </c>
      <c r="C66" s="62">
        <f>5167219186.06</f>
        <v>5167219186.0600004</v>
      </c>
      <c r="D66" s="62">
        <f>324618896.77</f>
        <v>324618896.76999998</v>
      </c>
      <c r="E66" s="62">
        <f>3550927164.98</f>
        <v>3550927164.98</v>
      </c>
      <c r="F66" s="62">
        <f>48222708.1</f>
        <v>48222708.100000001</v>
      </c>
      <c r="G66" s="62">
        <f>0</f>
        <v>0</v>
      </c>
      <c r="H66" s="62">
        <f>3580</f>
        <v>3580</v>
      </c>
      <c r="I66" s="69">
        <f>0</f>
        <v>0</v>
      </c>
      <c r="J66" s="32">
        <f>IF($D$65=0,"",100*$D66/$D$65)</f>
        <v>40.391284298460576</v>
      </c>
      <c r="K66" s="32">
        <f>IF(C66=0,"",100*D66/C66)</f>
        <v>6.2822745674452722</v>
      </c>
      <c r="L66" s="34"/>
    </row>
    <row r="67" spans="2:13" ht="12.75" customHeight="1" x14ac:dyDescent="0.2">
      <c r="B67" s="101" t="s">
        <v>59</v>
      </c>
      <c r="C67" s="62">
        <f t="shared" ref="C67:I67" si="6">C65-C66</f>
        <v>2620381058.4799995</v>
      </c>
      <c r="D67" s="62">
        <f t="shared" si="6"/>
        <v>479066607.19000196</v>
      </c>
      <c r="E67" s="62">
        <f t="shared" si="6"/>
        <v>1346137489.9900002</v>
      </c>
      <c r="F67" s="62">
        <f t="shared" si="6"/>
        <v>17987229.680000097</v>
      </c>
      <c r="G67" s="62">
        <f t="shared" si="6"/>
        <v>0</v>
      </c>
      <c r="H67" s="62">
        <f t="shared" si="6"/>
        <v>0</v>
      </c>
      <c r="I67" s="71">
        <f t="shared" si="6"/>
        <v>0</v>
      </c>
      <c r="J67" s="32">
        <f>IF($D$65=0,"",100*$D67/$D$65)</f>
        <v>59.608715701539431</v>
      </c>
      <c r="K67" s="32">
        <f>IF(C67=0,"",100*D67/C67)</f>
        <v>18.282325986125599</v>
      </c>
      <c r="L67" s="34"/>
    </row>
    <row r="68" spans="2:13" ht="18" customHeight="1" x14ac:dyDescent="0.2">
      <c r="B68" s="100" t="str">
        <f>CONCATENATE("Informacja z wykonania budżetów województw za ",$D$104," ",$C$105," rok    ",$C$107,"")</f>
        <v xml:space="preserve">Informacja z wykonania budżetów województw za I Kwartał 2023 rok    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</row>
    <row r="69" spans="2:13" ht="6" customHeight="1" x14ac:dyDescent="0.2"/>
    <row r="70" spans="2:13" x14ac:dyDescent="0.2">
      <c r="B70" s="37" t="s">
        <v>16</v>
      </c>
      <c r="C70" s="70" t="s">
        <v>17</v>
      </c>
      <c r="D70" s="70" t="s">
        <v>1</v>
      </c>
      <c r="E70" s="143" t="s">
        <v>86</v>
      </c>
      <c r="F70" s="144"/>
      <c r="G70" s="144"/>
      <c r="H70" s="144"/>
      <c r="I70" s="145"/>
      <c r="J70" s="16" t="s">
        <v>22</v>
      </c>
      <c r="K70" s="16" t="s">
        <v>23</v>
      </c>
    </row>
    <row r="71" spans="2:13" x14ac:dyDescent="0.2">
      <c r="B71" s="37"/>
      <c r="C71" s="123" t="s">
        <v>60</v>
      </c>
      <c r="D71" s="140"/>
      <c r="E71" s="146"/>
      <c r="F71" s="147"/>
      <c r="G71" s="147"/>
      <c r="H71" s="147"/>
      <c r="I71" s="148"/>
      <c r="J71" s="152" t="s">
        <v>4</v>
      </c>
      <c r="K71" s="153"/>
    </row>
    <row r="72" spans="2:13" x14ac:dyDescent="0.2">
      <c r="B72" s="35">
        <v>1</v>
      </c>
      <c r="C72" s="89">
        <v>2</v>
      </c>
      <c r="D72" s="89">
        <v>3</v>
      </c>
      <c r="E72" s="149"/>
      <c r="F72" s="150"/>
      <c r="G72" s="150"/>
      <c r="H72" s="150"/>
      <c r="I72" s="151"/>
      <c r="J72" s="36">
        <v>4</v>
      </c>
      <c r="K72" s="36">
        <v>5</v>
      </c>
    </row>
    <row r="73" spans="2:13" ht="27" customHeight="1" x14ac:dyDescent="0.2">
      <c r="B73" s="90" t="s">
        <v>46</v>
      </c>
      <c r="C73" s="39">
        <f>5131560677.23</f>
        <v>5131560677.2299995</v>
      </c>
      <c r="D73" s="39">
        <f>4344709485.72</f>
        <v>4344709485.7200003</v>
      </c>
      <c r="E73" s="108" t="s">
        <v>86</v>
      </c>
      <c r="F73" s="108" t="s">
        <v>86</v>
      </c>
      <c r="G73" s="108" t="s">
        <v>86</v>
      </c>
      <c r="H73" s="108" t="s">
        <v>86</v>
      </c>
      <c r="I73" s="108" t="s">
        <v>86</v>
      </c>
      <c r="J73" s="38">
        <f>IF($D$73=0,"",100*$D73/$D$73)</f>
        <v>100</v>
      </c>
      <c r="K73" s="31">
        <f t="shared" ref="K73:K87" si="7">IF(C73=0,"",100*D73/C73)</f>
        <v>84.666435008720597</v>
      </c>
    </row>
    <row r="74" spans="2:13" ht="33.75" x14ac:dyDescent="0.2">
      <c r="B74" s="105" t="s">
        <v>102</v>
      </c>
      <c r="C74" s="40">
        <f>2485203402</f>
        <v>2485203402</v>
      </c>
      <c r="D74" s="40">
        <f>0</f>
        <v>0</v>
      </c>
      <c r="E74" s="109" t="s">
        <v>86</v>
      </c>
      <c r="F74" s="109" t="s">
        <v>86</v>
      </c>
      <c r="G74" s="109" t="s">
        <v>86</v>
      </c>
      <c r="H74" s="109" t="s">
        <v>86</v>
      </c>
      <c r="I74" s="109" t="s">
        <v>86</v>
      </c>
      <c r="J74" s="45">
        <f t="shared" ref="J74:J83" si="8">IF($D$73=0,"",100*$D74/$D$73)</f>
        <v>0</v>
      </c>
      <c r="K74" s="46">
        <f t="shared" si="7"/>
        <v>0</v>
      </c>
    </row>
    <row r="75" spans="2:13" ht="22.5" x14ac:dyDescent="0.2">
      <c r="B75" s="106" t="s">
        <v>70</v>
      </c>
      <c r="C75" s="64">
        <f>215000000</f>
        <v>215000000</v>
      </c>
      <c r="D75" s="64">
        <f>0</f>
        <v>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65">
        <f t="shared" si="8"/>
        <v>0</v>
      </c>
      <c r="K75" s="66">
        <f t="shared" si="7"/>
        <v>0</v>
      </c>
    </row>
    <row r="76" spans="2:13" ht="12.75" customHeight="1" x14ac:dyDescent="0.2">
      <c r="B76" s="63" t="s">
        <v>71</v>
      </c>
      <c r="C76" s="64">
        <f>105709125</f>
        <v>105709125</v>
      </c>
      <c r="D76" s="64">
        <f>4558169.18</f>
        <v>4558169.18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0.10491309476460024</v>
      </c>
      <c r="K76" s="66">
        <f t="shared" si="7"/>
        <v>4.3119921577252676</v>
      </c>
    </row>
    <row r="77" spans="2:13" ht="46.5" customHeight="1" x14ac:dyDescent="0.2">
      <c r="B77" s="63" t="s">
        <v>80</v>
      </c>
      <c r="C77" s="64">
        <f>351458692</f>
        <v>351458692</v>
      </c>
      <c r="D77" s="64">
        <f>1121486751.19</f>
        <v>1121486751.1900001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25.81269829147503</v>
      </c>
      <c r="K77" s="66">
        <f t="shared" si="7"/>
        <v>319.09489698721126</v>
      </c>
    </row>
    <row r="78" spans="2:13" ht="35.25" customHeight="1" x14ac:dyDescent="0.2">
      <c r="B78" s="63" t="s">
        <v>81</v>
      </c>
      <c r="C78" s="64">
        <f>298909651.05</f>
        <v>298909651.05000001</v>
      </c>
      <c r="D78" s="64">
        <f>525353315.24</f>
        <v>525353315.24000001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12.091793869456822</v>
      </c>
      <c r="K78" s="66">
        <f t="shared" si="7"/>
        <v>175.75655834281568</v>
      </c>
    </row>
    <row r="79" spans="2:13" ht="12.75" customHeight="1" x14ac:dyDescent="0.2">
      <c r="B79" s="63" t="s">
        <v>72</v>
      </c>
      <c r="C79" s="64">
        <f>0</f>
        <v>0</v>
      </c>
      <c r="D79" s="64">
        <f>0</f>
        <v>0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0</v>
      </c>
      <c r="K79" s="66" t="str">
        <f t="shared" si="7"/>
        <v/>
      </c>
    </row>
    <row r="80" spans="2:13" ht="33.75" x14ac:dyDescent="0.2">
      <c r="B80" s="63" t="s">
        <v>75</v>
      </c>
      <c r="C80" s="64">
        <f>1407825810.18</f>
        <v>1407825810.1800001</v>
      </c>
      <c r="D80" s="64">
        <f>2550396961.11</f>
        <v>2550396961.1100001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58.701208204887628</v>
      </c>
      <c r="K80" s="66">
        <f t="shared" si="7"/>
        <v>181.15855972152653</v>
      </c>
    </row>
    <row r="81" spans="2:11" ht="56.25" x14ac:dyDescent="0.2">
      <c r="B81" s="63" t="s">
        <v>103</v>
      </c>
      <c r="C81" s="64">
        <f>0</f>
        <v>0</v>
      </c>
      <c r="D81" s="64">
        <f>0</f>
        <v>0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0</v>
      </c>
      <c r="K81" s="66" t="str">
        <f>IF(C81=0,"",100*D81/C81)</f>
        <v/>
      </c>
    </row>
    <row r="82" spans="2:11" x14ac:dyDescent="0.2">
      <c r="B82" s="63" t="s">
        <v>98</v>
      </c>
      <c r="C82" s="64">
        <f>482453997</f>
        <v>482453997</v>
      </c>
      <c r="D82" s="64">
        <f>142914289</f>
        <v>142914289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3.2893865394159123</v>
      </c>
      <c r="K82" s="66">
        <f>IF(C82=0,"",100*D82/C82)</f>
        <v>29.62236604705754</v>
      </c>
    </row>
    <row r="83" spans="2:11" ht="22.5" x14ac:dyDescent="0.2">
      <c r="B83" s="106" t="s">
        <v>99</v>
      </c>
      <c r="C83" s="64">
        <f>182453997</f>
        <v>182453997</v>
      </c>
      <c r="D83" s="64">
        <f>142914289</f>
        <v>142914289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3.2893865394159123</v>
      </c>
      <c r="K83" s="66">
        <f>IF(C83=0,"",100*D83/C83)</f>
        <v>78.328943925520036</v>
      </c>
    </row>
    <row r="84" spans="2:11" ht="27" customHeight="1" x14ac:dyDescent="0.2">
      <c r="B84" s="90" t="s">
        <v>47</v>
      </c>
      <c r="C84" s="43">
        <f>1028825810</f>
        <v>1028825810</v>
      </c>
      <c r="D84" s="43">
        <f>876156959.26</f>
        <v>876156959.25999999</v>
      </c>
      <c r="E84" s="108" t="s">
        <v>86</v>
      </c>
      <c r="F84" s="108" t="s">
        <v>86</v>
      </c>
      <c r="G84" s="108" t="s">
        <v>86</v>
      </c>
      <c r="H84" s="108" t="s">
        <v>86</v>
      </c>
      <c r="I84" s="108" t="s">
        <v>86</v>
      </c>
      <c r="J84" s="38">
        <f t="shared" ref="J84:J89" si="9">IF($D$84=0,"",100*$D84/$D$84)</f>
        <v>100</v>
      </c>
      <c r="K84" s="31">
        <f t="shared" si="7"/>
        <v>85.16086501173605</v>
      </c>
    </row>
    <row r="85" spans="2:11" ht="24.75" customHeight="1" x14ac:dyDescent="0.2">
      <c r="B85" s="105" t="s">
        <v>73</v>
      </c>
      <c r="C85" s="40">
        <f>585510619</f>
        <v>585510619</v>
      </c>
      <c r="D85" s="42">
        <f>178378928.57</f>
        <v>178378928.56999999</v>
      </c>
      <c r="E85" s="109" t="s">
        <v>86</v>
      </c>
      <c r="F85" s="109" t="s">
        <v>86</v>
      </c>
      <c r="G85" s="109" t="s">
        <v>86</v>
      </c>
      <c r="H85" s="109" t="s">
        <v>86</v>
      </c>
      <c r="I85" s="109" t="s">
        <v>86</v>
      </c>
      <c r="J85" s="45">
        <f t="shared" si="9"/>
        <v>20.359243476266901</v>
      </c>
      <c r="K85" s="46">
        <f t="shared" si="7"/>
        <v>30.465532610604967</v>
      </c>
    </row>
    <row r="86" spans="2:11" ht="12.75" customHeight="1" x14ac:dyDescent="0.2">
      <c r="B86" s="106" t="s">
        <v>74</v>
      </c>
      <c r="C86" s="64">
        <f>24000000</f>
        <v>24000000</v>
      </c>
      <c r="D86" s="64">
        <f>0</f>
        <v>0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65">
        <f t="shared" si="9"/>
        <v>0</v>
      </c>
      <c r="K86" s="66">
        <f t="shared" si="7"/>
        <v>0</v>
      </c>
    </row>
    <row r="87" spans="2:11" ht="12.75" customHeight="1" x14ac:dyDescent="0.2">
      <c r="B87" s="63" t="s">
        <v>82</v>
      </c>
      <c r="C87" s="64">
        <f>143315191</f>
        <v>143315191</v>
      </c>
      <c r="D87" s="64">
        <f>7778030.69</f>
        <v>7778030.6900000004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0.8877439832891707</v>
      </c>
      <c r="K87" s="66">
        <f t="shared" si="7"/>
        <v>5.4272199867493462</v>
      </c>
    </row>
    <row r="88" spans="2:11" ht="12.75" customHeight="1" x14ac:dyDescent="0.2">
      <c r="B88" s="63" t="s">
        <v>100</v>
      </c>
      <c r="C88" s="64">
        <f>300000000</f>
        <v>300000000</v>
      </c>
      <c r="D88" s="64">
        <f>690000000</f>
        <v>690000000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78.753012540443933</v>
      </c>
      <c r="K88" s="66">
        <f>IF(C88=0,"",100*D88/C88)</f>
        <v>230</v>
      </c>
    </row>
    <row r="89" spans="2:11" ht="22.5" x14ac:dyDescent="0.2">
      <c r="B89" s="106" t="s">
        <v>101</v>
      </c>
      <c r="C89" s="64">
        <f>0</f>
        <v>0</v>
      </c>
      <c r="D89" s="64">
        <f>0</f>
        <v>0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0</v>
      </c>
      <c r="K89" s="66" t="str">
        <f>IF(C89=0,"",100*D89/C89)</f>
        <v/>
      </c>
    </row>
    <row r="91" spans="2:11" x14ac:dyDescent="0.2">
      <c r="B91" s="37" t="s">
        <v>16</v>
      </c>
      <c r="C91" s="70" t="s">
        <v>17</v>
      </c>
      <c r="D91" s="16" t="s">
        <v>1</v>
      </c>
    </row>
    <row r="92" spans="2:11" x14ac:dyDescent="0.2">
      <c r="B92" s="37"/>
      <c r="C92" s="123" t="s">
        <v>60</v>
      </c>
      <c r="D92" s="140"/>
    </row>
    <row r="93" spans="2:11" x14ac:dyDescent="0.2">
      <c r="B93" s="35">
        <v>1</v>
      </c>
      <c r="C93" s="89">
        <v>2</v>
      </c>
      <c r="D93" s="36">
        <v>3</v>
      </c>
    </row>
    <row r="94" spans="2:11" ht="36" customHeight="1" x14ac:dyDescent="0.2">
      <c r="B94" s="44" t="s">
        <v>104</v>
      </c>
      <c r="C94" s="41">
        <f>4120093414.23</f>
        <v>4120093414.23</v>
      </c>
      <c r="D94" s="24">
        <f>0</f>
        <v>0</v>
      </c>
    </row>
    <row r="95" spans="2:11" ht="33.75" x14ac:dyDescent="0.2">
      <c r="B95" s="107" t="s">
        <v>62</v>
      </c>
      <c r="C95" s="64">
        <f>215000000</f>
        <v>215000000</v>
      </c>
      <c r="D95" s="57">
        <f>0</f>
        <v>0</v>
      </c>
    </row>
    <row r="96" spans="2:11" ht="12.75" customHeight="1" x14ac:dyDescent="0.2">
      <c r="B96" s="107" t="s">
        <v>63</v>
      </c>
      <c r="C96" s="64">
        <f>2179969567</f>
        <v>2179969567</v>
      </c>
      <c r="D96" s="57">
        <f>0</f>
        <v>0</v>
      </c>
    </row>
    <row r="97" spans="2:4" ht="22.5" x14ac:dyDescent="0.2">
      <c r="B97" s="107" t="s">
        <v>64</v>
      </c>
      <c r="C97" s="64">
        <f>0</f>
        <v>0</v>
      </c>
      <c r="D97" s="57">
        <f>0</f>
        <v>0</v>
      </c>
    </row>
    <row r="98" spans="2:4" ht="56.25" x14ac:dyDescent="0.2">
      <c r="B98" s="107" t="s">
        <v>83</v>
      </c>
      <c r="C98" s="64">
        <f>283557119</f>
        <v>283557119</v>
      </c>
      <c r="D98" s="57">
        <f>0</f>
        <v>0</v>
      </c>
    </row>
    <row r="99" spans="2:4" ht="81" customHeight="1" x14ac:dyDescent="0.2">
      <c r="B99" s="107" t="s">
        <v>65</v>
      </c>
      <c r="C99" s="64">
        <f>958011430.23</f>
        <v>958011430.23000002</v>
      </c>
      <c r="D99" s="57">
        <f>0</f>
        <v>0</v>
      </c>
    </row>
    <row r="100" spans="2:4" ht="151.5" customHeight="1" x14ac:dyDescent="0.2">
      <c r="B100" s="107" t="s">
        <v>84</v>
      </c>
      <c r="C100" s="64">
        <f>278501301</f>
        <v>278501301</v>
      </c>
      <c r="D100" s="57">
        <f>0</f>
        <v>0</v>
      </c>
    </row>
    <row r="101" spans="2:4" ht="23.25" customHeight="1" x14ac:dyDescent="0.2">
      <c r="B101" s="107" t="s">
        <v>85</v>
      </c>
      <c r="C101" s="64">
        <f>22600000</f>
        <v>22600000</v>
      </c>
      <c r="D101" s="57">
        <f>0</f>
        <v>0</v>
      </c>
    </row>
    <row r="102" spans="2:4" ht="23.25" customHeight="1" x14ac:dyDescent="0.2">
      <c r="B102" s="120" t="s">
        <v>99</v>
      </c>
      <c r="C102" s="64">
        <f>182453997</f>
        <v>182453997</v>
      </c>
      <c r="D102" s="57">
        <f>0</f>
        <v>0</v>
      </c>
    </row>
    <row r="104" spans="2:4" x14ac:dyDescent="0.2">
      <c r="B104" s="33" t="s">
        <v>48</v>
      </c>
      <c r="C104" s="33">
        <f>1</f>
        <v>1</v>
      </c>
      <c r="D104" s="33" t="str">
        <f>IF(C104=1,"I Kwartał",IF(C104=2,"II Kwartały",IF(C104=3,"III Kwartały",IF(C104=4,"IV Kwartały",IF(C104="M1","Styczeń",IF(C104="M11","Listopad",IF(C104="M12","Grudzień","-")))))))</f>
        <v>I Kwartał</v>
      </c>
    </row>
    <row r="105" spans="2:4" x14ac:dyDescent="0.2">
      <c r="B105" s="33" t="s">
        <v>49</v>
      </c>
      <c r="C105" s="111">
        <f>2023</f>
        <v>2023</v>
      </c>
      <c r="D105" s="34"/>
    </row>
    <row r="106" spans="2:4" x14ac:dyDescent="0.2">
      <c r="B106" s="33" t="s">
        <v>50</v>
      </c>
      <c r="C106" s="137" t="str">
        <f>"May 26 2023 12:00AM"</f>
        <v>May 26 2023 12:00AM</v>
      </c>
      <c r="D106" s="138"/>
    </row>
    <row r="107" spans="2:4" hidden="1" x14ac:dyDescent="0.2">
      <c r="B107" s="33" t="s">
        <v>55</v>
      </c>
      <c r="C107" s="112" t="str">
        <f>""</f>
        <v/>
      </c>
      <c r="D107" s="34"/>
    </row>
  </sheetData>
  <mergeCells count="23">
    <mergeCell ref="J3:L3"/>
    <mergeCell ref="C3:D3"/>
    <mergeCell ref="I46:I48"/>
    <mergeCell ref="C49:I49"/>
    <mergeCell ref="C106:D106"/>
    <mergeCell ref="F46:H46"/>
    <mergeCell ref="G47:H47"/>
    <mergeCell ref="C71:D71"/>
    <mergeCell ref="J46:J48"/>
    <mergeCell ref="C92:D92"/>
    <mergeCell ref="I62:J62"/>
    <mergeCell ref="E70:I72"/>
    <mergeCell ref="J71:K71"/>
    <mergeCell ref="I61:J61"/>
    <mergeCell ref="J49:K49"/>
    <mergeCell ref="K46:K48"/>
    <mergeCell ref="B2:B3"/>
    <mergeCell ref="C46:C48"/>
    <mergeCell ref="B46:B49"/>
    <mergeCell ref="F47:F48"/>
    <mergeCell ref="E3:I4"/>
    <mergeCell ref="D46:D48"/>
    <mergeCell ref="E46:E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3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2023-06-01T13:56:22Z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