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30" i="7" s="1"/>
  <c r="A1" i="7" l="1"/>
  <c r="A86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<sst xmlns="http://schemas.openxmlformats.org/spreadsheetml/2006/main" count="93" uniqueCount="79">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</sst>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1"/>
    </sheetView>
  </sheetViews>
  <sheetFormatPr defaultColWidth="9.1796875" defaultRowHeight="13.5" customHeight="1" x14ac:dyDescent="0.25"/>
  <cols>
    <col min="1" max="1" width="16.453125" style="2" customWidth="1"/>
    <col min="2" max="2" width="14.7265625" style="2" customWidth="1"/>
    <col min="3" max="3" width="15.1796875" style="2" customWidth="1"/>
    <col min="4" max="4" width="12.54296875" style="2" customWidth="1"/>
    <col min="5" max="5" width="11.453125" style="2" customWidth="1"/>
    <col min="6" max="7" width="12.54296875" style="2" customWidth="1"/>
    <col min="8" max="8" width="12" style="2" customWidth="1"/>
    <col min="9" max="9" width="11.7265625" style="2" customWidth="1"/>
    <col min="10" max="10" width="13" style="2" customWidth="1"/>
    <col min="11" max="11" width="12.1796875" style="2" customWidth="1"/>
    <col min="12" max="12" width="13.26953125" style="2" customWidth="1"/>
    <col min="13" max="13" width="12.81640625" style="2" customWidth="1"/>
    <col min="14" max="14" width="12" style="2" customWidth="1"/>
    <col min="15" max="17" width="11.7265625" style="2" customWidth="1"/>
    <col min="18" max="16384" width="9.1796875" style="2"/>
  </cols>
  <sheetData>
    <row r="1" spans="1:17" ht="75" customHeight="1" x14ac:dyDescent="0.25">
      <c r="A1" s="33" t="str">
        <f>CONCATENATE("Informacja z wykonania budżetów jednostek samorządu terytorialnego za ",$C$94," ",$B$95," roku")</f>
        <v>Informacja z wykonania budżetów jednostek samorządu terytorialnego za III Kwartały 2022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5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5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5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5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5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5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5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5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5">
      <c r="A13" s="19" t="s">
        <v>45</v>
      </c>
      <c r="B13" s="21">
        <f>86537970631.66</f>
        <v>86537970631.660004</v>
      </c>
      <c r="C13" s="21">
        <f>62960848007.63</f>
        <v>62960848007.629997</v>
      </c>
      <c r="D13" s="21">
        <f>3347457122.83</f>
        <v>3347457122.8299999</v>
      </c>
      <c r="E13" s="21">
        <f>643740058.36</f>
        <v>643740058.36000001</v>
      </c>
      <c r="F13" s="21">
        <f>654446764.82</f>
        <v>654446764.82000005</v>
      </c>
      <c r="G13" s="21">
        <f>2046759177.35</f>
        <v>2046759177.3499999</v>
      </c>
      <c r="H13" s="21">
        <f>2511122.3</f>
        <v>2511122.2999999998</v>
      </c>
      <c r="I13" s="21">
        <f>0</f>
        <v>0</v>
      </c>
      <c r="J13" s="21">
        <f>54957254858.36</f>
        <v>54957254858.360001</v>
      </c>
      <c r="K13" s="21">
        <f>2538545939.7</f>
        <v>2538545939.6999998</v>
      </c>
      <c r="L13" s="21">
        <f>2067390940.14</f>
        <v>2067390940.1400001</v>
      </c>
      <c r="M13" s="21">
        <f>33684721.19</f>
        <v>33684721.189999998</v>
      </c>
      <c r="N13" s="21">
        <f>16514425.41</f>
        <v>16514425.41</v>
      </c>
      <c r="O13" s="21">
        <f>23577122624.03</f>
        <v>23577122624.029999</v>
      </c>
      <c r="P13" s="21">
        <f>23293598997.6</f>
        <v>23293598997.599998</v>
      </c>
      <c r="Q13" s="21">
        <f>283523626.43</f>
        <v>283523626.43000001</v>
      </c>
    </row>
    <row r="14" spans="1:17" ht="41.25" customHeight="1" x14ac:dyDescent="0.25">
      <c r="A14" s="19" t="s">
        <v>75</v>
      </c>
      <c r="B14" s="21">
        <f>4183826344.15</f>
        <v>4183826344.1500001</v>
      </c>
      <c r="C14" s="21">
        <f>4183826344.15</f>
        <v>4183826344.1500001</v>
      </c>
      <c r="D14" s="21">
        <f>1292526</f>
        <v>1292526</v>
      </c>
      <c r="E14" s="21">
        <f>0</f>
        <v>0</v>
      </c>
      <c r="F14" s="21">
        <f>0</f>
        <v>0</v>
      </c>
      <c r="G14" s="21">
        <f>1292526</f>
        <v>1292526</v>
      </c>
      <c r="H14" s="21">
        <f>0</f>
        <v>0</v>
      </c>
      <c r="I14" s="21">
        <f>0</f>
        <v>0</v>
      </c>
      <c r="J14" s="21">
        <f>3970733818.15</f>
        <v>3970733818.1500001</v>
      </c>
      <c r="K14" s="21">
        <f>211800000</f>
        <v>211800000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12.5" x14ac:dyDescent="0.25">
      <c r="A15" s="16" t="s">
        <v>46</v>
      </c>
      <c r="B15" s="22">
        <f>4000000</f>
        <v>4000000</v>
      </c>
      <c r="C15" s="22">
        <f>4000000</f>
        <v>4000000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4000000</f>
        <v>4000000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5">
      <c r="A16" s="16" t="s">
        <v>47</v>
      </c>
      <c r="B16" s="22">
        <f>4179826344.15</f>
        <v>4179826344.1500001</v>
      </c>
      <c r="C16" s="22">
        <f>4179826344.15</f>
        <v>4179826344.1500001</v>
      </c>
      <c r="D16" s="22">
        <f>1292526</f>
        <v>1292526</v>
      </c>
      <c r="E16" s="22">
        <f>0</f>
        <v>0</v>
      </c>
      <c r="F16" s="22">
        <f>0</f>
        <v>0</v>
      </c>
      <c r="G16" s="22">
        <f>1292526</f>
        <v>1292526</v>
      </c>
      <c r="H16" s="22">
        <f>0</f>
        <v>0</v>
      </c>
      <c r="I16" s="22">
        <f>0</f>
        <v>0</v>
      </c>
      <c r="J16" s="22">
        <f>3966733818.15</f>
        <v>3966733818.1500001</v>
      </c>
      <c r="K16" s="22">
        <f>211800000</f>
        <v>211800000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5">
      <c r="A17" s="19" t="s">
        <v>76</v>
      </c>
      <c r="B17" s="21">
        <f>82289111098.71</f>
        <v>82289111098.710007</v>
      </c>
      <c r="C17" s="21">
        <f>58711991658.97</f>
        <v>58711991658.970001</v>
      </c>
      <c r="D17" s="21">
        <f>3327040888.81</f>
        <v>3327040888.8099999</v>
      </c>
      <c r="E17" s="21">
        <f>643401460.55</f>
        <v>643401460.54999995</v>
      </c>
      <c r="F17" s="21">
        <f>654310162.49</f>
        <v>654310162.49000001</v>
      </c>
      <c r="G17" s="21">
        <f>2029329265.77</f>
        <v>2029329265.77</v>
      </c>
      <c r="H17" s="21">
        <f>0</f>
        <v>0</v>
      </c>
      <c r="I17" s="21">
        <f>0</f>
        <v>0</v>
      </c>
      <c r="J17" s="21">
        <f>50986094389.86</f>
        <v>50986094389.860001</v>
      </c>
      <c r="K17" s="21">
        <f>2326711086.22</f>
        <v>2326711086.2199998</v>
      </c>
      <c r="L17" s="21">
        <f>2045103386.81</f>
        <v>2045103386.8099999</v>
      </c>
      <c r="M17" s="21">
        <f>13702370.26</f>
        <v>13702370.26</v>
      </c>
      <c r="N17" s="21">
        <f>13339537.01</f>
        <v>13339537.01</v>
      </c>
      <c r="O17" s="21">
        <f>23577119439.74</f>
        <v>23577119439.740002</v>
      </c>
      <c r="P17" s="21">
        <f>23293596768.2</f>
        <v>23293596768.200001</v>
      </c>
      <c r="Q17" s="21">
        <f>283522671.54</f>
        <v>283522671.54000002</v>
      </c>
    </row>
    <row r="18" spans="1:17" ht="12.5" x14ac:dyDescent="0.25">
      <c r="A18" s="16" t="s">
        <v>48</v>
      </c>
      <c r="B18" s="22">
        <f>500926490.22</f>
        <v>500926490.22000003</v>
      </c>
      <c r="C18" s="22">
        <f>500926490.22</f>
        <v>500926490.22000003</v>
      </c>
      <c r="D18" s="22">
        <f>15416279.88</f>
        <v>15416279.880000001</v>
      </c>
      <c r="E18" s="22">
        <f>12100427.43</f>
        <v>12100427.43</v>
      </c>
      <c r="F18" s="22">
        <f>1191296</f>
        <v>1191296</v>
      </c>
      <c r="G18" s="22">
        <f>2124556.45</f>
        <v>2124556.4500000002</v>
      </c>
      <c r="H18" s="22">
        <f>0</f>
        <v>0</v>
      </c>
      <c r="I18" s="22">
        <f>0</f>
        <v>0</v>
      </c>
      <c r="J18" s="22">
        <f>477091632.92</f>
        <v>477091632.92000002</v>
      </c>
      <c r="K18" s="22">
        <f>1073513.61</f>
        <v>1073513.6100000001</v>
      </c>
      <c r="L18" s="22">
        <f>6790063.81</f>
        <v>6790063.8099999996</v>
      </c>
      <c r="M18" s="22">
        <f>555000</f>
        <v>555000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5">
      <c r="A19" s="16" t="s">
        <v>49</v>
      </c>
      <c r="B19" s="22">
        <f>81788184608.49</f>
        <v>81788184608.490005</v>
      </c>
      <c r="C19" s="22">
        <f>58211065168.75</f>
        <v>58211065168.75</v>
      </c>
      <c r="D19" s="22">
        <f>3311624608.93</f>
        <v>3311624608.9299998</v>
      </c>
      <c r="E19" s="22">
        <f>631301033.12</f>
        <v>631301033.12</v>
      </c>
      <c r="F19" s="22">
        <f>653118866.49</f>
        <v>653118866.49000001</v>
      </c>
      <c r="G19" s="22">
        <f>2027204709.32</f>
        <v>2027204709.3199999</v>
      </c>
      <c r="H19" s="22">
        <f>0</f>
        <v>0</v>
      </c>
      <c r="I19" s="22">
        <f>0</f>
        <v>0</v>
      </c>
      <c r="J19" s="22">
        <f>50509002756.94</f>
        <v>50509002756.940002</v>
      </c>
      <c r="K19" s="22">
        <f>2325637572.61</f>
        <v>2325637572.6100001</v>
      </c>
      <c r="L19" s="22">
        <f>2038313323</f>
        <v>2038313323</v>
      </c>
      <c r="M19" s="22">
        <f>13147370.26</f>
        <v>13147370.26</v>
      </c>
      <c r="N19" s="22">
        <f>13339537.01</f>
        <v>13339537.01</v>
      </c>
      <c r="O19" s="22">
        <f>23577119439.74</f>
        <v>23577119439.740002</v>
      </c>
      <c r="P19" s="22">
        <f>23293596768.2</f>
        <v>23293596768.200001</v>
      </c>
      <c r="Q19" s="22">
        <f>283522671.54</f>
        <v>283522671.54000002</v>
      </c>
    </row>
    <row r="20" spans="1:17" ht="24.75" customHeight="1" x14ac:dyDescent="0.25">
      <c r="A20" s="26" t="s">
        <v>50</v>
      </c>
      <c r="B20" s="27">
        <f>0</f>
        <v>0</v>
      </c>
      <c r="C20" s="27">
        <f>0</f>
        <v>0</v>
      </c>
      <c r="D20" s="27">
        <f>0</f>
        <v>0</v>
      </c>
      <c r="E20" s="27">
        <f>0</f>
        <v>0</v>
      </c>
      <c r="F20" s="27">
        <f>0</f>
        <v>0</v>
      </c>
      <c r="G20" s="27">
        <f>0</f>
        <v>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5">
      <c r="A21" s="20" t="s">
        <v>77</v>
      </c>
      <c r="B21" s="21">
        <f>65033188.8</f>
        <v>65033188.799999997</v>
      </c>
      <c r="C21" s="21">
        <f>65030004.51</f>
        <v>65030004.509999998</v>
      </c>
      <c r="D21" s="21">
        <f>19123708.02</f>
        <v>19123708.02</v>
      </c>
      <c r="E21" s="21">
        <f>338597.81</f>
        <v>338597.81</v>
      </c>
      <c r="F21" s="21">
        <f>136602.33</f>
        <v>136602.32999999999</v>
      </c>
      <c r="G21" s="21">
        <f>16137385.58</f>
        <v>16137385.58</v>
      </c>
      <c r="H21" s="21">
        <f>2511122.3</f>
        <v>2511122.2999999998</v>
      </c>
      <c r="I21" s="21">
        <f>0</f>
        <v>0</v>
      </c>
      <c r="J21" s="21">
        <f>426650.35</f>
        <v>426650.35</v>
      </c>
      <c r="K21" s="21">
        <f>34853.48</f>
        <v>34853.480000000003</v>
      </c>
      <c r="L21" s="21">
        <f>22287553.33</f>
        <v>22287553.329999998</v>
      </c>
      <c r="M21" s="21">
        <f>19982350.93</f>
        <v>19982350.93</v>
      </c>
      <c r="N21" s="21">
        <f>3174888.4</f>
        <v>3174888.4</v>
      </c>
      <c r="O21" s="21">
        <f>3184.29</f>
        <v>3184.29</v>
      </c>
      <c r="P21" s="21">
        <f>2229.4</f>
        <v>2229.4</v>
      </c>
      <c r="Q21" s="21">
        <f>954.89</f>
        <v>954.89</v>
      </c>
    </row>
    <row r="22" spans="1:17" ht="33" customHeight="1" x14ac:dyDescent="0.25">
      <c r="A22" s="17" t="s">
        <v>51</v>
      </c>
      <c r="B22" s="22">
        <f>41104682.99</f>
        <v>41104682.990000002</v>
      </c>
      <c r="C22" s="22">
        <f>41102453.59</f>
        <v>41102453.590000004</v>
      </c>
      <c r="D22" s="22">
        <f>5292866.22</f>
        <v>5292866.22</v>
      </c>
      <c r="E22" s="22">
        <f>255.48</f>
        <v>255.48</v>
      </c>
      <c r="F22" s="22">
        <f>135244.8</f>
        <v>135244.79999999999</v>
      </c>
      <c r="G22" s="22">
        <f>5157365.94</f>
        <v>5157365.9400000004</v>
      </c>
      <c r="H22" s="22">
        <f>0</f>
        <v>0</v>
      </c>
      <c r="I22" s="22">
        <f>0</f>
        <v>0</v>
      </c>
      <c r="J22" s="22">
        <f>0</f>
        <v>0</v>
      </c>
      <c r="K22" s="22">
        <f>32435.59</f>
        <v>32435.59</v>
      </c>
      <c r="L22" s="22">
        <f>18112418.23</f>
        <v>18112418.23</v>
      </c>
      <c r="M22" s="22">
        <f>14935763.31</f>
        <v>14935763.310000001</v>
      </c>
      <c r="N22" s="22">
        <f>2728970.24</f>
        <v>2728970.2400000002</v>
      </c>
      <c r="O22" s="22">
        <f>2229.4</f>
        <v>2229.4</v>
      </c>
      <c r="P22" s="22">
        <f>2229.4</f>
        <v>2229.4</v>
      </c>
      <c r="Q22" s="22">
        <f>0</f>
        <v>0</v>
      </c>
    </row>
    <row r="23" spans="1:17" ht="23.25" customHeight="1" x14ac:dyDescent="0.25">
      <c r="A23" s="17" t="s">
        <v>52</v>
      </c>
      <c r="B23" s="22">
        <f>23928505.81</f>
        <v>23928505.809999999</v>
      </c>
      <c r="C23" s="22">
        <f>23927550.92</f>
        <v>23927550.920000002</v>
      </c>
      <c r="D23" s="22">
        <f>13830841.8</f>
        <v>13830841.800000001</v>
      </c>
      <c r="E23" s="22">
        <f>338342.33</f>
        <v>338342.33</v>
      </c>
      <c r="F23" s="22">
        <f>1357.53</f>
        <v>1357.53</v>
      </c>
      <c r="G23" s="22">
        <f>10980019.64</f>
        <v>10980019.640000001</v>
      </c>
      <c r="H23" s="22">
        <f>2511122.3</f>
        <v>2511122.2999999998</v>
      </c>
      <c r="I23" s="22">
        <f>0</f>
        <v>0</v>
      </c>
      <c r="J23" s="22">
        <f>426650.35</f>
        <v>426650.35</v>
      </c>
      <c r="K23" s="22">
        <f>2417.89</f>
        <v>2417.89</v>
      </c>
      <c r="L23" s="22">
        <f>4175135.1</f>
        <v>4175135.1</v>
      </c>
      <c r="M23" s="22">
        <f>5046587.62</f>
        <v>5046587.62</v>
      </c>
      <c r="N23" s="22">
        <f>445918.16</f>
        <v>445918.16</v>
      </c>
      <c r="O23" s="22">
        <f>954.89</f>
        <v>954.89</v>
      </c>
      <c r="P23" s="22">
        <f>0</f>
        <v>0</v>
      </c>
      <c r="Q23" s="22">
        <f>954.89</f>
        <v>954.89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5">
      <c r="A30" s="33" t="str">
        <f>CONCATENATE("Informacja z wykonania budżetów jednostek samorządu terytorialnego za ",$C$94," ",$B$95," roku")</f>
        <v>Informacja z wykonania budżetów jednostek samorządu terytorialnego za III Kwartały 2022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5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5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5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5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5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5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5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5">
      <c r="A40" s="28" t="s">
        <v>40</v>
      </c>
      <c r="B40" s="23">
        <f>20584740.12</f>
        <v>20584740.120000001</v>
      </c>
      <c r="C40" s="23">
        <f>20534740.12</f>
        <v>20534740.120000001</v>
      </c>
      <c r="D40" s="23">
        <f>5207984.11</f>
        <v>5207984.1100000003</v>
      </c>
      <c r="E40" s="23">
        <f>3135024.11</f>
        <v>3135024.11</v>
      </c>
      <c r="F40" s="23">
        <f>0</f>
        <v>0</v>
      </c>
      <c r="G40" s="23">
        <f>2072960</f>
        <v>2072960</v>
      </c>
      <c r="H40" s="23">
        <f>0</f>
        <v>0</v>
      </c>
      <c r="I40" s="23">
        <f>0</f>
        <v>0</v>
      </c>
      <c r="J40" s="23">
        <f>183554.8</f>
        <v>183554.8</v>
      </c>
      <c r="K40" s="23">
        <f>28865</f>
        <v>28865</v>
      </c>
      <c r="L40" s="23">
        <f>2197369.78</f>
        <v>2197369.7799999998</v>
      </c>
      <c r="M40" s="23">
        <f>12482068.17</f>
        <v>12482068.17</v>
      </c>
      <c r="N40" s="23">
        <f>434898.26</f>
        <v>434898.26</v>
      </c>
      <c r="O40" s="23">
        <f>50000</f>
        <v>50000</v>
      </c>
      <c r="P40" s="23">
        <f>0</f>
        <v>0</v>
      </c>
      <c r="Q40" s="23">
        <f>50000</f>
        <v>50000</v>
      </c>
    </row>
    <row r="41" spans="1:17" ht="28.5" customHeight="1" x14ac:dyDescent="0.25">
      <c r="A41" s="18" t="s">
        <v>29</v>
      </c>
      <c r="B41" s="24">
        <f>17796239.26</f>
        <v>17796239.260000002</v>
      </c>
      <c r="C41" s="24">
        <f>17746239.26</f>
        <v>17746239.260000002</v>
      </c>
      <c r="D41" s="24">
        <f>3926709.11</f>
        <v>3926709.11</v>
      </c>
      <c r="E41" s="24">
        <f>3074302.11</f>
        <v>3074302.11</v>
      </c>
      <c r="F41" s="24">
        <f>0</f>
        <v>0</v>
      </c>
      <c r="G41" s="24">
        <f>852407</f>
        <v>852407</v>
      </c>
      <c r="H41" s="24">
        <f>0</f>
        <v>0</v>
      </c>
      <c r="I41" s="24">
        <f>0</f>
        <v>0</v>
      </c>
      <c r="J41" s="24">
        <f>6000</f>
        <v>6000</v>
      </c>
      <c r="K41" s="24">
        <f>4560</f>
        <v>4560</v>
      </c>
      <c r="L41" s="24">
        <f>1721552.97</f>
        <v>1721552.97</v>
      </c>
      <c r="M41" s="24">
        <f>12031518.92</f>
        <v>12031518.92</v>
      </c>
      <c r="N41" s="24">
        <f>55898.26</f>
        <v>55898.26</v>
      </c>
      <c r="O41" s="24">
        <f>50000</f>
        <v>50000</v>
      </c>
      <c r="P41" s="24">
        <f>0</f>
        <v>0</v>
      </c>
      <c r="Q41" s="24">
        <f>50000</f>
        <v>50000</v>
      </c>
    </row>
    <row r="42" spans="1:17" ht="28.5" customHeight="1" x14ac:dyDescent="0.25">
      <c r="A42" s="18" t="s">
        <v>30</v>
      </c>
      <c r="B42" s="24">
        <f>2788500.86</f>
        <v>2788500.86</v>
      </c>
      <c r="C42" s="24">
        <f>2788500.86</f>
        <v>2788500.86</v>
      </c>
      <c r="D42" s="24">
        <f>1281275</f>
        <v>1281275</v>
      </c>
      <c r="E42" s="24">
        <f>60722</f>
        <v>60722</v>
      </c>
      <c r="F42" s="24">
        <f>0</f>
        <v>0</v>
      </c>
      <c r="G42" s="24">
        <f>1220553</f>
        <v>1220553</v>
      </c>
      <c r="H42" s="24">
        <f>0</f>
        <v>0</v>
      </c>
      <c r="I42" s="24">
        <f>0</f>
        <v>0</v>
      </c>
      <c r="J42" s="24">
        <f>177554.8</f>
        <v>177554.8</v>
      </c>
      <c r="K42" s="24">
        <f>24305</f>
        <v>24305</v>
      </c>
      <c r="L42" s="24">
        <f>475816.81</f>
        <v>475816.81</v>
      </c>
      <c r="M42" s="24">
        <f>450549.25</f>
        <v>450549.25</v>
      </c>
      <c r="N42" s="24">
        <f>379000</f>
        <v>379000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5">
      <c r="A43" s="28" t="s">
        <v>41</v>
      </c>
      <c r="B43" s="23">
        <f>1434131801.42</f>
        <v>1434131801.4200001</v>
      </c>
      <c r="C43" s="23">
        <f>1433864931.46</f>
        <v>1433864931.46</v>
      </c>
      <c r="D43" s="23">
        <f>705308096.52</f>
        <v>705308096.51999998</v>
      </c>
      <c r="E43" s="23">
        <f>160709.6</f>
        <v>160709.6</v>
      </c>
      <c r="F43" s="23">
        <f>3095449.42</f>
        <v>3095449.42</v>
      </c>
      <c r="G43" s="23">
        <f>686831710.29</f>
        <v>686831710.28999996</v>
      </c>
      <c r="H43" s="23">
        <f>15220227.21</f>
        <v>15220227.210000001</v>
      </c>
      <c r="I43" s="23">
        <f>0</f>
        <v>0</v>
      </c>
      <c r="J43" s="23">
        <f>47205.43</f>
        <v>47205.43</v>
      </c>
      <c r="K43" s="23">
        <f>163337.66</f>
        <v>163337.66</v>
      </c>
      <c r="L43" s="23">
        <f>416934355.83</f>
        <v>416934355.82999998</v>
      </c>
      <c r="M43" s="23">
        <f>263889781.02</f>
        <v>263889781.02000001</v>
      </c>
      <c r="N43" s="23">
        <f>47522155</f>
        <v>47522155</v>
      </c>
      <c r="O43" s="23">
        <f>266869.96</f>
        <v>266869.96000000002</v>
      </c>
      <c r="P43" s="23">
        <f>3883.66</f>
        <v>3883.66</v>
      </c>
      <c r="Q43" s="23">
        <f>262986.3</f>
        <v>262986.3</v>
      </c>
    </row>
    <row r="44" spans="1:17" ht="32.25" customHeight="1" x14ac:dyDescent="0.25">
      <c r="A44" s="18" t="s">
        <v>31</v>
      </c>
      <c r="B44" s="24">
        <f>204439661.99</f>
        <v>204439661.99000001</v>
      </c>
      <c r="C44" s="24">
        <f>204439661.99</f>
        <v>204439661.99000001</v>
      </c>
      <c r="D44" s="24">
        <f>116624703.51</f>
        <v>116624703.51000001</v>
      </c>
      <c r="E44" s="24">
        <f>739.78</f>
        <v>739.78</v>
      </c>
      <c r="F44" s="24">
        <f>3058762</f>
        <v>3058762</v>
      </c>
      <c r="G44" s="24">
        <f>98465201.73</f>
        <v>98465201.730000004</v>
      </c>
      <c r="H44" s="24">
        <f>15100000</f>
        <v>15100000</v>
      </c>
      <c r="I44" s="24">
        <f>0</f>
        <v>0</v>
      </c>
      <c r="J44" s="24">
        <f>0</f>
        <v>0</v>
      </c>
      <c r="K44" s="24">
        <f>0</f>
        <v>0</v>
      </c>
      <c r="L44" s="24">
        <f>59591600.83</f>
        <v>59591600.829999998</v>
      </c>
      <c r="M44" s="24">
        <f>10879238.63</f>
        <v>10879238.630000001</v>
      </c>
      <c r="N44" s="24">
        <f>17344119.02</f>
        <v>17344119.02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5">
      <c r="A45" s="18" t="s">
        <v>32</v>
      </c>
      <c r="B45" s="24">
        <f>1229692139.43</f>
        <v>1229692139.4300001</v>
      </c>
      <c r="C45" s="24">
        <f>1229425269.47</f>
        <v>1229425269.47</v>
      </c>
      <c r="D45" s="24">
        <f>588683393.01</f>
        <v>588683393.00999999</v>
      </c>
      <c r="E45" s="24">
        <f>159969.82</f>
        <v>159969.82</v>
      </c>
      <c r="F45" s="24">
        <f>36687.42</f>
        <v>36687.42</v>
      </c>
      <c r="G45" s="24">
        <f>588366508.56</f>
        <v>588366508.55999994</v>
      </c>
      <c r="H45" s="24">
        <f>120227.21</f>
        <v>120227.21</v>
      </c>
      <c r="I45" s="24">
        <f>0</f>
        <v>0</v>
      </c>
      <c r="J45" s="24">
        <f>47205.43</f>
        <v>47205.43</v>
      </c>
      <c r="K45" s="24">
        <f>163337.66</f>
        <v>163337.66</v>
      </c>
      <c r="L45" s="24">
        <f>357342755</f>
        <v>357342755</v>
      </c>
      <c r="M45" s="24">
        <f>253010542.39</f>
        <v>253010542.38999999</v>
      </c>
      <c r="N45" s="24">
        <f>30178035.98</f>
        <v>30178035.98</v>
      </c>
      <c r="O45" s="24">
        <f>266869.96</f>
        <v>266869.96000000002</v>
      </c>
      <c r="P45" s="24">
        <f>3883.66</f>
        <v>3883.66</v>
      </c>
      <c r="Q45" s="24">
        <f>262986.3</f>
        <v>262986.3</v>
      </c>
    </row>
    <row r="46" spans="1:17" ht="35.25" customHeight="1" x14ac:dyDescent="0.25">
      <c r="A46" s="28" t="s">
        <v>42</v>
      </c>
      <c r="B46" s="23">
        <f>64157918583.02</f>
        <v>64157918583.019997</v>
      </c>
      <c r="C46" s="23">
        <f>64157728132.11</f>
        <v>64157728132.110001</v>
      </c>
      <c r="D46" s="23">
        <f>36428950.85</f>
        <v>36428950.850000001</v>
      </c>
      <c r="E46" s="23">
        <f>7832442.05</f>
        <v>7832442.0499999998</v>
      </c>
      <c r="F46" s="23">
        <f>53064.1</f>
        <v>53064.1</v>
      </c>
      <c r="G46" s="23">
        <f>28543444.7</f>
        <v>28543444.699999999</v>
      </c>
      <c r="H46" s="23">
        <f>0</f>
        <v>0</v>
      </c>
      <c r="I46" s="23">
        <f>18858335.76</f>
        <v>18858335.760000002</v>
      </c>
      <c r="J46" s="23">
        <f>64091686515.8</f>
        <v>64091686515.800003</v>
      </c>
      <c r="K46" s="23">
        <f>465951.62</f>
        <v>465951.62</v>
      </c>
      <c r="L46" s="23">
        <f>9871849.13</f>
        <v>9871849.1300000008</v>
      </c>
      <c r="M46" s="23">
        <f>165230.57</f>
        <v>165230.57</v>
      </c>
      <c r="N46" s="23">
        <f>251298.38</f>
        <v>251298.38</v>
      </c>
      <c r="O46" s="23">
        <f>190450.91</f>
        <v>190450.91</v>
      </c>
      <c r="P46" s="23">
        <f>190450.91</f>
        <v>190450.91</v>
      </c>
      <c r="Q46" s="23">
        <f>0</f>
        <v>0</v>
      </c>
    </row>
    <row r="47" spans="1:17" ht="28.5" customHeight="1" x14ac:dyDescent="0.25">
      <c r="A47" s="18" t="s">
        <v>33</v>
      </c>
      <c r="B47" s="24">
        <f>20405254.36</f>
        <v>20405254.359999999</v>
      </c>
      <c r="C47" s="24">
        <f>20405254.36</f>
        <v>20405254.359999999</v>
      </c>
      <c r="D47" s="24">
        <f>20405254.36</f>
        <v>20405254.359999999</v>
      </c>
      <c r="E47" s="24">
        <f>0</f>
        <v>0</v>
      </c>
      <c r="F47" s="24">
        <f>0</f>
        <v>0</v>
      </c>
      <c r="G47" s="24">
        <f>20405254.36</f>
        <v>20405254.359999999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5">
      <c r="A48" s="18" t="s">
        <v>34</v>
      </c>
      <c r="B48" s="24">
        <f>45845057383.01</f>
        <v>45845057383.010002</v>
      </c>
      <c r="C48" s="24">
        <f>45845057383.01</f>
        <v>45845057383.010002</v>
      </c>
      <c r="D48" s="24">
        <f>15397683.1</f>
        <v>15397683.1</v>
      </c>
      <c r="E48" s="24">
        <f>7414752.62</f>
        <v>7414752.6200000001</v>
      </c>
      <c r="F48" s="24">
        <f>7013</f>
        <v>7013</v>
      </c>
      <c r="G48" s="24">
        <f>7975917.48</f>
        <v>7975917.4800000004</v>
      </c>
      <c r="H48" s="24">
        <f>0</f>
        <v>0</v>
      </c>
      <c r="I48" s="24">
        <f>18805919.76</f>
        <v>18805919.760000002</v>
      </c>
      <c r="J48" s="24">
        <f>45801872823.65</f>
        <v>45801872823.650002</v>
      </c>
      <c r="K48" s="24">
        <f>259625.61</f>
        <v>259625.61</v>
      </c>
      <c r="L48" s="24">
        <f>8616107.68</f>
        <v>8616107.6799999997</v>
      </c>
      <c r="M48" s="24">
        <f>10940.09</f>
        <v>10940.09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5">
      <c r="A49" s="18" t="s">
        <v>35</v>
      </c>
      <c r="B49" s="24">
        <f>18292455945.65</f>
        <v>18292455945.650002</v>
      </c>
      <c r="C49" s="24">
        <f>18292265494.74</f>
        <v>18292265494.740002</v>
      </c>
      <c r="D49" s="24">
        <f>626013.39</f>
        <v>626013.39</v>
      </c>
      <c r="E49" s="24">
        <f>417689.43</f>
        <v>417689.43</v>
      </c>
      <c r="F49" s="24">
        <f>46051.1</f>
        <v>46051.1</v>
      </c>
      <c r="G49" s="24">
        <f>162272.86</f>
        <v>162272.85999999999</v>
      </c>
      <c r="H49" s="24">
        <f>0</f>
        <v>0</v>
      </c>
      <c r="I49" s="24">
        <f>52416</f>
        <v>52416</v>
      </c>
      <c r="J49" s="24">
        <f>18289813692.15</f>
        <v>18289813692.150002</v>
      </c>
      <c r="K49" s="24">
        <f>206326.01</f>
        <v>206326.01</v>
      </c>
      <c r="L49" s="24">
        <f>1255741.45</f>
        <v>1255741.45</v>
      </c>
      <c r="M49" s="24">
        <f>154290.48</f>
        <v>154290.48000000001</v>
      </c>
      <c r="N49" s="24">
        <f>157015.26</f>
        <v>157015.26</v>
      </c>
      <c r="O49" s="24">
        <f>190450.91</f>
        <v>190450.91</v>
      </c>
      <c r="P49" s="24">
        <f>190450.91</f>
        <v>190450.91</v>
      </c>
      <c r="Q49" s="24">
        <f>0</f>
        <v>0</v>
      </c>
    </row>
    <row r="50" spans="1:17" ht="35.25" customHeight="1" x14ac:dyDescent="0.25">
      <c r="A50" s="28" t="s">
        <v>43</v>
      </c>
      <c r="B50" s="23">
        <f>24977221593.11</f>
        <v>24977221593.110001</v>
      </c>
      <c r="C50" s="23">
        <f>24922661753.29</f>
        <v>24922661753.290001</v>
      </c>
      <c r="D50" s="23">
        <f>508299699.77</f>
        <v>508299699.76999998</v>
      </c>
      <c r="E50" s="23">
        <f>122748563.55</f>
        <v>122748563.55</v>
      </c>
      <c r="F50" s="23">
        <f>20097880.14</f>
        <v>20097880.140000001</v>
      </c>
      <c r="G50" s="23">
        <f>364135311.2</f>
        <v>364135311.19999999</v>
      </c>
      <c r="H50" s="23">
        <f>1317944.88</f>
        <v>1317944.8799999999</v>
      </c>
      <c r="I50" s="23">
        <f>658.67</f>
        <v>658.67</v>
      </c>
      <c r="J50" s="23">
        <f>9017722.33</f>
        <v>9017722.3300000001</v>
      </c>
      <c r="K50" s="23">
        <f>37305556.1</f>
        <v>37305556.100000001</v>
      </c>
      <c r="L50" s="23">
        <f>6757262185.95</f>
        <v>6757262185.9499998</v>
      </c>
      <c r="M50" s="23">
        <f>17380624482.63</f>
        <v>17380624482.630001</v>
      </c>
      <c r="N50" s="23">
        <f>230151447.84</f>
        <v>230151447.84</v>
      </c>
      <c r="O50" s="23">
        <f>54559839.82</f>
        <v>54559839.82</v>
      </c>
      <c r="P50" s="23">
        <f>33651337.68</f>
        <v>33651337.68</v>
      </c>
      <c r="Q50" s="23">
        <f>20908502.14</f>
        <v>20908502.140000001</v>
      </c>
    </row>
    <row r="51" spans="1:17" ht="28.5" customHeight="1" x14ac:dyDescent="0.25">
      <c r="A51" s="18" t="s">
        <v>36</v>
      </c>
      <c r="B51" s="24">
        <f>6556610243.29</f>
        <v>6556610243.29</v>
      </c>
      <c r="C51" s="24">
        <f>6554024261.81</f>
        <v>6554024261.8100004</v>
      </c>
      <c r="D51" s="24">
        <f>82225621.17</f>
        <v>82225621.170000002</v>
      </c>
      <c r="E51" s="24">
        <f>2627199.38</f>
        <v>2627199.38</v>
      </c>
      <c r="F51" s="24">
        <f>3021446.19</f>
        <v>3021446.19</v>
      </c>
      <c r="G51" s="24">
        <f>75913479.87</f>
        <v>75913479.870000005</v>
      </c>
      <c r="H51" s="24">
        <f>663495.73</f>
        <v>663495.73</v>
      </c>
      <c r="I51" s="24">
        <f>0</f>
        <v>0</v>
      </c>
      <c r="J51" s="24">
        <f>999377.96</f>
        <v>999377.96</v>
      </c>
      <c r="K51" s="24">
        <f>1445030.49</f>
        <v>1445030.49</v>
      </c>
      <c r="L51" s="24">
        <f>1017287366.15</f>
        <v>1017287366.15</v>
      </c>
      <c r="M51" s="24">
        <f>5348148333.12</f>
        <v>5348148333.1199999</v>
      </c>
      <c r="N51" s="24">
        <f>103918532.92</f>
        <v>103918532.92</v>
      </c>
      <c r="O51" s="24">
        <f>2585981.48</f>
        <v>2585981.48</v>
      </c>
      <c r="P51" s="24">
        <f>911968.99</f>
        <v>911968.99</v>
      </c>
      <c r="Q51" s="24">
        <f>1674012.49</f>
        <v>1674012.49</v>
      </c>
    </row>
    <row r="52" spans="1:17" ht="28.5" customHeight="1" x14ac:dyDescent="0.25">
      <c r="A52" s="18" t="s">
        <v>37</v>
      </c>
      <c r="B52" s="24">
        <f>18420611349.82</f>
        <v>18420611349.82</v>
      </c>
      <c r="C52" s="24">
        <f>18368637491.48</f>
        <v>18368637491.48</v>
      </c>
      <c r="D52" s="24">
        <f>426074078.6</f>
        <v>426074078.60000002</v>
      </c>
      <c r="E52" s="24">
        <f>120121364.17</f>
        <v>120121364.17</v>
      </c>
      <c r="F52" s="24">
        <f>17076433.95</f>
        <v>17076433.949999999</v>
      </c>
      <c r="G52" s="24">
        <f>288221831.33</f>
        <v>288221831.32999998</v>
      </c>
      <c r="H52" s="24">
        <f>654449.15</f>
        <v>654449.15</v>
      </c>
      <c r="I52" s="24">
        <f>658.67</f>
        <v>658.67</v>
      </c>
      <c r="J52" s="24">
        <f>8018344.37</f>
        <v>8018344.3700000001</v>
      </c>
      <c r="K52" s="24">
        <f>35860525.61</f>
        <v>35860525.609999999</v>
      </c>
      <c r="L52" s="24">
        <f>5739974819.8</f>
        <v>5739974819.8000002</v>
      </c>
      <c r="M52" s="24">
        <f>12032476149.51</f>
        <v>12032476149.51</v>
      </c>
      <c r="N52" s="24">
        <f>126232914.92</f>
        <v>126232914.92</v>
      </c>
      <c r="O52" s="24">
        <f>51973858.34</f>
        <v>51973858.340000004</v>
      </c>
      <c r="P52" s="24">
        <f>32739368.69</f>
        <v>32739368.690000001</v>
      </c>
      <c r="Q52" s="24">
        <f>19234489.65</f>
        <v>19234489.649999999</v>
      </c>
    </row>
    <row r="53" spans="1:17" ht="35.25" customHeight="1" x14ac:dyDescent="0.25">
      <c r="A53" s="28" t="s">
        <v>44</v>
      </c>
      <c r="B53" s="23">
        <f>15820801788.26</f>
        <v>15820801788.26</v>
      </c>
      <c r="C53" s="23">
        <f>15772571323.27</f>
        <v>15772571323.27</v>
      </c>
      <c r="D53" s="23">
        <f>1533572840.89</f>
        <v>1533572840.8900001</v>
      </c>
      <c r="E53" s="23">
        <f>644770919.81</f>
        <v>644770919.80999994</v>
      </c>
      <c r="F53" s="23">
        <f>63818271.83</f>
        <v>63818271.829999998</v>
      </c>
      <c r="G53" s="23">
        <f>802634378.88</f>
        <v>802634378.88</v>
      </c>
      <c r="H53" s="23">
        <f>22349270.37</f>
        <v>22349270.370000001</v>
      </c>
      <c r="I53" s="23">
        <f>1233704.44</f>
        <v>1233704.44</v>
      </c>
      <c r="J53" s="23">
        <f>18810848.61</f>
        <v>18810848.609999999</v>
      </c>
      <c r="K53" s="23">
        <f>28157072.76</f>
        <v>28157072.760000002</v>
      </c>
      <c r="L53" s="23">
        <f>8903709098.15</f>
        <v>8903709098.1499996</v>
      </c>
      <c r="M53" s="23">
        <f>5015863529.4</f>
        <v>5015863529.3999996</v>
      </c>
      <c r="N53" s="23">
        <f>271224229.02</f>
        <v>271224229.01999998</v>
      </c>
      <c r="O53" s="23">
        <f>48230464.99</f>
        <v>48230464.990000002</v>
      </c>
      <c r="P53" s="23">
        <f>42505878.48</f>
        <v>42505878.479999997</v>
      </c>
      <c r="Q53" s="23">
        <f>5724586.51</f>
        <v>5724586.5099999998</v>
      </c>
    </row>
    <row r="54" spans="1:17" ht="28.5" customHeight="1" x14ac:dyDescent="0.25">
      <c r="A54" s="18" t="s">
        <v>38</v>
      </c>
      <c r="B54" s="24">
        <f>1639149894.57</f>
        <v>1639149894.5699999</v>
      </c>
      <c r="C54" s="24">
        <f>1638250139.89</f>
        <v>1638250139.8900001</v>
      </c>
      <c r="D54" s="24">
        <f>135271039.72</f>
        <v>135271039.72</v>
      </c>
      <c r="E54" s="24">
        <f>12131847.99</f>
        <v>12131847.99</v>
      </c>
      <c r="F54" s="24">
        <f>3481337.57</f>
        <v>3481337.57</v>
      </c>
      <c r="G54" s="24">
        <f>116468707.69</f>
        <v>116468707.69</v>
      </c>
      <c r="H54" s="24">
        <f>3189146.47</f>
        <v>3189146.47</v>
      </c>
      <c r="I54" s="24">
        <f>2340</f>
        <v>2340</v>
      </c>
      <c r="J54" s="24">
        <f>1068716.67</f>
        <v>1068716.67</v>
      </c>
      <c r="K54" s="24">
        <f>2899568.56</f>
        <v>2899568.56</v>
      </c>
      <c r="L54" s="24">
        <f>627159706.64</f>
        <v>627159706.63999999</v>
      </c>
      <c r="M54" s="24">
        <f>848385905.01</f>
        <v>848385905.00999999</v>
      </c>
      <c r="N54" s="24">
        <f>23462863.29</f>
        <v>23462863.289999999</v>
      </c>
      <c r="O54" s="24">
        <f>899754.68</f>
        <v>899754.68</v>
      </c>
      <c r="P54" s="24">
        <f>766441.39</f>
        <v>766441.39</v>
      </c>
      <c r="Q54" s="24">
        <f>133313.29</f>
        <v>133313.29</v>
      </c>
    </row>
    <row r="55" spans="1:17" ht="47.25" customHeight="1" x14ac:dyDescent="0.25">
      <c r="A55" s="18" t="s">
        <v>78</v>
      </c>
      <c r="B55" s="24">
        <f>7045468105.55</f>
        <v>7045468105.5500002</v>
      </c>
      <c r="C55" s="24">
        <f>7038542930.19</f>
        <v>7038542930.1899996</v>
      </c>
      <c r="D55" s="24">
        <f>376954768.21</f>
        <v>376954768.20999998</v>
      </c>
      <c r="E55" s="24">
        <f>171881782.79</f>
        <v>171881782.78999999</v>
      </c>
      <c r="F55" s="24">
        <f>40281680.88</f>
        <v>40281680.880000003</v>
      </c>
      <c r="G55" s="24">
        <f>153227624.92</f>
        <v>153227624.91999999</v>
      </c>
      <c r="H55" s="24">
        <f>11563679.62</f>
        <v>11563679.619999999</v>
      </c>
      <c r="I55" s="24">
        <f>1208442.08</f>
        <v>1208442.08</v>
      </c>
      <c r="J55" s="24">
        <f>8906325.51</f>
        <v>8906325.5099999998</v>
      </c>
      <c r="K55" s="24">
        <f>8902078.08</f>
        <v>8902078.0800000001</v>
      </c>
      <c r="L55" s="24">
        <f>4894596726.55</f>
        <v>4894596726.5500002</v>
      </c>
      <c r="M55" s="24">
        <f>1710573142.21</f>
        <v>1710573142.21</v>
      </c>
      <c r="N55" s="24">
        <f>37401447.55</f>
        <v>37401447.549999997</v>
      </c>
      <c r="O55" s="24">
        <f>6925175.36</f>
        <v>6925175.3600000003</v>
      </c>
      <c r="P55" s="24">
        <f>6015634.06</f>
        <v>6015634.0599999996</v>
      </c>
      <c r="Q55" s="24">
        <f>909541.3</f>
        <v>909541.3</v>
      </c>
    </row>
    <row r="56" spans="1:17" ht="35.25" customHeight="1" x14ac:dyDescent="0.25">
      <c r="A56" s="18" t="s">
        <v>39</v>
      </c>
      <c r="B56" s="24">
        <f>7136183788.14</f>
        <v>7136183788.1400003</v>
      </c>
      <c r="C56" s="24">
        <f>7095778253.19</f>
        <v>7095778253.1899996</v>
      </c>
      <c r="D56" s="24">
        <f>1021347032.96</f>
        <v>1021347032.96</v>
      </c>
      <c r="E56" s="24">
        <f>460757289.03</f>
        <v>460757289.02999997</v>
      </c>
      <c r="F56" s="24">
        <f>20055253.38</f>
        <v>20055253.379999999</v>
      </c>
      <c r="G56" s="24">
        <f>532938046.27</f>
        <v>532938046.26999998</v>
      </c>
      <c r="H56" s="24">
        <f>7596444.28</f>
        <v>7596444.2800000003</v>
      </c>
      <c r="I56" s="24">
        <f>22922.36</f>
        <v>22922.36</v>
      </c>
      <c r="J56" s="24">
        <f>8835806.43</f>
        <v>8835806.4299999997</v>
      </c>
      <c r="K56" s="24">
        <f>16355426.12</f>
        <v>16355426.119999999</v>
      </c>
      <c r="L56" s="24">
        <f>3381952664.96</f>
        <v>3381952664.96</v>
      </c>
      <c r="M56" s="24">
        <f>2456904482.18</f>
        <v>2456904482.1799998</v>
      </c>
      <c r="N56" s="24">
        <f>210359918.18</f>
        <v>210359918.18000001</v>
      </c>
      <c r="O56" s="24">
        <f>40405534.95</f>
        <v>40405534.950000003</v>
      </c>
      <c r="P56" s="24">
        <f>35723803.03</f>
        <v>35723803.030000001</v>
      </c>
      <c r="Q56" s="24">
        <f>4681731.92</f>
        <v>4681731.92</v>
      </c>
    </row>
    <row r="67" spans="1:13" ht="75" customHeight="1" x14ac:dyDescent="0.25">
      <c r="A67" s="33" t="str">
        <f>CONCATENATE("Informacja z wykonania budżetów jednostek samorządu terytorialnego za ",$C$94," ",$B$95," roku")</f>
        <v>Informacja z wykonania budżetów jednostek samorządu terytorialnego za III Kwartały 2022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5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5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5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5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5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5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5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5">
      <c r="B77" s="55" t="s">
        <v>53</v>
      </c>
      <c r="C77" s="56"/>
      <c r="D77" s="56"/>
      <c r="E77" s="57"/>
      <c r="F77" s="22">
        <f>4639900518.35</f>
        <v>4639900518.3500004</v>
      </c>
      <c r="G77" s="22">
        <f>1152857671.41</f>
        <v>1152857671.4100001</v>
      </c>
      <c r="H77" s="22">
        <f>54354972.1</f>
        <v>54354972.100000001</v>
      </c>
      <c r="I77" s="22">
        <f>332220358.92</f>
        <v>332220358.92000002</v>
      </c>
      <c r="J77" s="22">
        <f>759237051.15</f>
        <v>759237051.14999998</v>
      </c>
      <c r="K77" s="22">
        <f>7045289.24</f>
        <v>7045289.2400000002</v>
      </c>
      <c r="L77" s="22">
        <f>3487042846.94</f>
        <v>3487042846.9400001</v>
      </c>
    </row>
    <row r="78" spans="1:13" ht="33.75" customHeight="1" x14ac:dyDescent="0.25">
      <c r="B78" s="38" t="s">
        <v>54</v>
      </c>
      <c r="C78" s="39"/>
      <c r="D78" s="39"/>
      <c r="E78" s="40"/>
      <c r="F78" s="25">
        <f>1263059.37</f>
        <v>1263059.3700000001</v>
      </c>
      <c r="G78" s="25">
        <f>1262085.91</f>
        <v>1262085.9099999999</v>
      </c>
      <c r="H78" s="25">
        <f>440491.91</f>
        <v>440491.91</v>
      </c>
      <c r="I78" s="25">
        <f>0</f>
        <v>0</v>
      </c>
      <c r="J78" s="25">
        <f>821594</f>
        <v>821594</v>
      </c>
      <c r="K78" s="25">
        <f>0</f>
        <v>0</v>
      </c>
      <c r="L78" s="25">
        <f>973.46</f>
        <v>973.46</v>
      </c>
    </row>
    <row r="79" spans="1:13" ht="33.75" customHeight="1" x14ac:dyDescent="0.25">
      <c r="B79" s="38" t="s">
        <v>55</v>
      </c>
      <c r="C79" s="39"/>
      <c r="D79" s="39"/>
      <c r="E79" s="40"/>
      <c r="F79" s="25">
        <f>227101078.19</f>
        <v>227101078.19</v>
      </c>
      <c r="G79" s="25">
        <f>20042723.59</f>
        <v>20042723.59</v>
      </c>
      <c r="H79" s="25">
        <f>1256851</f>
        <v>1256851</v>
      </c>
      <c r="I79" s="25">
        <f>5000000</f>
        <v>5000000</v>
      </c>
      <c r="J79" s="25">
        <f>13676286.55</f>
        <v>13676286.550000001</v>
      </c>
      <c r="K79" s="25">
        <f>109586.04</f>
        <v>109586.04</v>
      </c>
      <c r="L79" s="25">
        <f>207058354.6</f>
        <v>207058354.59999999</v>
      </c>
    </row>
    <row r="80" spans="1:13" ht="22.5" customHeight="1" x14ac:dyDescent="0.25">
      <c r="B80" s="38" t="s">
        <v>56</v>
      </c>
      <c r="C80" s="39"/>
      <c r="D80" s="39"/>
      <c r="E80" s="40"/>
      <c r="F80" s="25">
        <f>104122832.93</f>
        <v>104122832.93000001</v>
      </c>
      <c r="G80" s="25">
        <f>40026363.39</f>
        <v>40026363.390000001</v>
      </c>
      <c r="H80" s="25">
        <f>0</f>
        <v>0</v>
      </c>
      <c r="I80" s="25">
        <f>0</f>
        <v>0</v>
      </c>
      <c r="J80" s="25">
        <f>40026363.39</f>
        <v>40026363.390000001</v>
      </c>
      <c r="K80" s="25">
        <f>0</f>
        <v>0</v>
      </c>
      <c r="L80" s="25">
        <f>64096469.54</f>
        <v>64096469.539999999</v>
      </c>
    </row>
    <row r="81" spans="1:13" ht="33.75" customHeight="1" x14ac:dyDescent="0.25">
      <c r="B81" s="38" t="s">
        <v>57</v>
      </c>
      <c r="C81" s="39"/>
      <c r="D81" s="39"/>
      <c r="E81" s="40"/>
      <c r="F81" s="25">
        <f>18530806.91</f>
        <v>18530806.91</v>
      </c>
      <c r="G81" s="25">
        <f>14139324.87</f>
        <v>14139324.869999999</v>
      </c>
      <c r="H81" s="25">
        <f>0</f>
        <v>0</v>
      </c>
      <c r="I81" s="25">
        <f>0</f>
        <v>0</v>
      </c>
      <c r="J81" s="25">
        <f>14139324.87</f>
        <v>14139324.869999999</v>
      </c>
      <c r="K81" s="25">
        <f>0</f>
        <v>0</v>
      </c>
      <c r="L81" s="25">
        <f>4391482.04</f>
        <v>4391482.04</v>
      </c>
    </row>
    <row r="82" spans="1:13" ht="33.75" customHeight="1" x14ac:dyDescent="0.25">
      <c r="B82" s="38" t="s">
        <v>58</v>
      </c>
      <c r="C82" s="39"/>
      <c r="D82" s="39"/>
      <c r="E82" s="40"/>
      <c r="F82" s="25">
        <f>35772999.66</f>
        <v>35772999.659999996</v>
      </c>
      <c r="G82" s="25">
        <f>12317545.79</f>
        <v>12317545.789999999</v>
      </c>
      <c r="H82" s="25">
        <f>0</f>
        <v>0</v>
      </c>
      <c r="I82" s="25">
        <f>0</f>
        <v>0</v>
      </c>
      <c r="J82" s="25">
        <f>12317545.79</f>
        <v>12317545.789999999</v>
      </c>
      <c r="K82" s="25">
        <f>0</f>
        <v>0</v>
      </c>
      <c r="L82" s="25">
        <f>23455453.87</f>
        <v>23455453.870000001</v>
      </c>
    </row>
    <row r="83" spans="1:13" ht="33" customHeight="1" x14ac:dyDescent="0.25">
      <c r="B83" s="55" t="s">
        <v>59</v>
      </c>
      <c r="C83" s="56"/>
      <c r="D83" s="56"/>
      <c r="E83" s="57"/>
      <c r="F83" s="22">
        <f>286380</f>
        <v>286380</v>
      </c>
      <c r="G83" s="22">
        <f>139380</f>
        <v>139380</v>
      </c>
      <c r="H83" s="22">
        <f>0</f>
        <v>0</v>
      </c>
      <c r="I83" s="22">
        <f>0</f>
        <v>0</v>
      </c>
      <c r="J83" s="22">
        <f>139380</f>
        <v>139380</v>
      </c>
      <c r="K83" s="22">
        <f>0</f>
        <v>0</v>
      </c>
      <c r="L83" s="22">
        <f>147000</f>
        <v>147000</v>
      </c>
    </row>
    <row r="86" spans="1:13" ht="75" customHeight="1" x14ac:dyDescent="0.25">
      <c r="A86" s="33" t="str">
        <f>CONCATENATE("Informacja z wykonania budżetów jednostek samorządu terytorialnego za ",$C$94," ",$B$95," roku")</f>
        <v>Informacja z wykonania budżetów jednostek samorządu terytorialnego za III Kwartały 2022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5">
      <c r="B87" s="3"/>
    </row>
    <row r="88" spans="1:13" ht="13.5" customHeight="1" x14ac:dyDescent="0.25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5">
      <c r="B89" s="5"/>
      <c r="C89" s="55" t="s">
        <v>5</v>
      </c>
      <c r="D89" s="56"/>
      <c r="E89" s="56"/>
      <c r="F89" s="57"/>
      <c r="G89" s="58">
        <f>2210</f>
        <v>2210</v>
      </c>
      <c r="H89" s="59"/>
      <c r="I89" s="41">
        <f>17292114067.34</f>
        <v>17292114067.34</v>
      </c>
      <c r="J89" s="42"/>
      <c r="K89" s="6"/>
    </row>
    <row r="90" spans="1:13" ht="13.5" customHeight="1" x14ac:dyDescent="0.25">
      <c r="B90" s="5"/>
      <c r="C90" s="38" t="s">
        <v>6</v>
      </c>
      <c r="D90" s="39"/>
      <c r="E90" s="39"/>
      <c r="F90" s="40"/>
      <c r="G90" s="61">
        <f>597</f>
        <v>597</v>
      </c>
      <c r="H90" s="62"/>
      <c r="I90" s="63">
        <f>-2426085414.12</f>
        <v>-2426085414.1199999</v>
      </c>
      <c r="J90" s="64"/>
      <c r="K90" s="6"/>
    </row>
    <row r="91" spans="1:13" ht="13.5" customHeight="1" x14ac:dyDescent="0.25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5">
      <c r="A94" s="7" t="s">
        <v>8</v>
      </c>
      <c r="B94" s="7">
        <f>3</f>
        <v>3</v>
      </c>
      <c r="C94" s="7" t="str">
        <f>IF(B94=1,"I Kwartał",IF(B94=2,"II Kwartały",IF(B94=3,"III Kwartały",IF(B94=4,"IV Kwartały","-"))))</f>
        <v>III Kwartały</v>
      </c>
    </row>
    <row r="95" spans="1:13" ht="13.5" customHeight="1" x14ac:dyDescent="0.25">
      <c r="A95" s="7" t="s">
        <v>9</v>
      </c>
      <c r="B95" s="7">
        <f>2022</f>
        <v>2022</v>
      </c>
      <c r="C95" s="8"/>
    </row>
    <row r="96" spans="1:13" ht="13.5" customHeight="1" x14ac:dyDescent="0.25">
      <c r="A96" s="7" t="s">
        <v>10</v>
      </c>
      <c r="B96" s="9" t="str">
        <f>"Nov 18 2022 12:00AM"</f>
        <v>Nov 18 2022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2022-11-29T14:59:59Z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2022-11-29T15:59:55.7211074+01:00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GRN-94b4a7d4-02e0-4b5d-be34-c3d8d344eb65</vt:lpwstr>
  </property>
  <property fmtid="{D5CDD505-2E9C-101B-9397-08002B2CF9AE}" pid="7" name="MFHash">
    <vt:lpwstr>NGPpQwd+OiZ5Z2BAtg3lc8tVMtJFP0FX4I/Nm4F+PDw=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