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1" i="7" s="1"/>
  <c r="A66" i="7" l="1"/>
  <c r="A85" i="7"/>
  <c r="A30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<sst xmlns="http://schemas.openxmlformats.org/spreadsheetml/2006/main" count="97" uniqueCount="81">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</sst>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 Kwartał 2022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44237613783.24</f>
        <v>44237613783.239998</v>
      </c>
      <c r="C13" s="21">
        <f>22554182892.31</f>
        <v>22554182892.310001</v>
      </c>
      <c r="D13" s="21">
        <f>491188708.43</f>
        <v>491188708.43000001</v>
      </c>
      <c r="E13" s="21">
        <f>414.03</f>
        <v>414.03</v>
      </c>
      <c r="F13" s="21">
        <f>262406627.91</f>
        <v>262406627.91</v>
      </c>
      <c r="G13" s="21">
        <f>228781666.49</f>
        <v>228781666.49000001</v>
      </c>
      <c r="H13" s="21">
        <f>0</f>
        <v>0</v>
      </c>
      <c r="I13" s="21">
        <f>0</f>
        <v>0</v>
      </c>
      <c r="J13" s="21">
        <f>19726276196.4</f>
        <v>19726276196.400002</v>
      </c>
      <c r="K13" s="21">
        <f>820437264.9</f>
        <v>820437264.89999998</v>
      </c>
      <c r="L13" s="21">
        <f>1500860193.05</f>
        <v>1500860193.05</v>
      </c>
      <c r="M13" s="21">
        <f>12932960.45</f>
        <v>12932960.449999999</v>
      </c>
      <c r="N13" s="21">
        <f>2487569.08</f>
        <v>2487569.08</v>
      </c>
      <c r="O13" s="21">
        <f>21683430890.93</f>
        <v>21683430890.93</v>
      </c>
      <c r="P13" s="21">
        <f>21606730890.93</f>
        <v>21606730890.93</v>
      </c>
      <c r="Q13" s="21">
        <f>76700000</f>
        <v>76700000</v>
      </c>
    </row>
    <row r="14" spans="1:17" ht="38.25" customHeight="1" x14ac:dyDescent="0.2">
      <c r="A14" s="20" t="s">
        <v>48</v>
      </c>
      <c r="B14" s="21">
        <f>3535688000</f>
        <v>3535688000</v>
      </c>
      <c r="C14" s="21">
        <f>3535688000</f>
        <v>3535688000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3368188000</f>
        <v>3368188000</v>
      </c>
      <c r="K14" s="21">
        <f>167500000</f>
        <v>167500000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3535688000</f>
        <v>3535688000</v>
      </c>
      <c r="C16" s="22">
        <f>3535688000</f>
        <v>3535688000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3368188000</f>
        <v>3368188000</v>
      </c>
      <c r="K16" s="22">
        <f>167500000</f>
        <v>167500000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40679562936.1</f>
        <v>40679562936.099998</v>
      </c>
      <c r="C17" s="21">
        <f>18996132045.17</f>
        <v>18996132045.169998</v>
      </c>
      <c r="D17" s="21">
        <f>487084380.24</f>
        <v>487084380.24000001</v>
      </c>
      <c r="E17" s="21">
        <f>0</f>
        <v>0</v>
      </c>
      <c r="F17" s="21">
        <f>262406627.91</f>
        <v>262406627.91</v>
      </c>
      <c r="G17" s="21">
        <f>224677752.33</f>
        <v>224677752.33000001</v>
      </c>
      <c r="H17" s="21">
        <f>0</f>
        <v>0</v>
      </c>
      <c r="I17" s="21">
        <f>0</f>
        <v>0</v>
      </c>
      <c r="J17" s="21">
        <f>16358088196.4</f>
        <v>16358088196.4</v>
      </c>
      <c r="K17" s="21">
        <f>652937264.9</f>
        <v>652937264.89999998</v>
      </c>
      <c r="L17" s="21">
        <f>1497784350.14</f>
        <v>1497784350.1400001</v>
      </c>
      <c r="M17" s="21">
        <f>237853.49</f>
        <v>237853.49</v>
      </c>
      <c r="N17" s="21">
        <f>0</f>
        <v>0</v>
      </c>
      <c r="O17" s="21">
        <f>21683430890.93</f>
        <v>21683430890.93</v>
      </c>
      <c r="P17" s="21">
        <f>21606730890.93</f>
        <v>21606730890.93</v>
      </c>
      <c r="Q17" s="21">
        <f>76700000</f>
        <v>76700000</v>
      </c>
    </row>
    <row r="18" spans="1:17" ht="38.25" customHeight="1" x14ac:dyDescent="0.2">
      <c r="A18" s="18" t="s">
        <v>52</v>
      </c>
      <c r="B18" s="22">
        <f>182762.76</f>
        <v>182762.76</v>
      </c>
      <c r="C18" s="22">
        <f>182762.76</f>
        <v>182762.76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182762.76</f>
        <v>182762.76</v>
      </c>
      <c r="K18" s="22">
        <f>0</f>
        <v>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40679380173.34</f>
        <v>40679380173.339996</v>
      </c>
      <c r="C19" s="22">
        <f>18995949282.41</f>
        <v>18995949282.41</v>
      </c>
      <c r="D19" s="22">
        <f>487084380.24</f>
        <v>487084380.24000001</v>
      </c>
      <c r="E19" s="22">
        <f>0</f>
        <v>0</v>
      </c>
      <c r="F19" s="22">
        <f>262406627.91</f>
        <v>262406627.91</v>
      </c>
      <c r="G19" s="22">
        <f>224677752.33</f>
        <v>224677752.33000001</v>
      </c>
      <c r="H19" s="22">
        <f>0</f>
        <v>0</v>
      </c>
      <c r="I19" s="22">
        <f>0</f>
        <v>0</v>
      </c>
      <c r="J19" s="22">
        <f>16357905433.64</f>
        <v>16357905433.639999</v>
      </c>
      <c r="K19" s="22">
        <f>652937264.9</f>
        <v>652937264.89999998</v>
      </c>
      <c r="L19" s="22">
        <f>1497784350.14</f>
        <v>1497784350.1400001</v>
      </c>
      <c r="M19" s="22">
        <f>237853.49</f>
        <v>237853.49</v>
      </c>
      <c r="N19" s="22">
        <f>0</f>
        <v>0</v>
      </c>
      <c r="O19" s="22">
        <f>21683430890.93</f>
        <v>21683430890.93</v>
      </c>
      <c r="P19" s="22">
        <f>21606730890.93</f>
        <v>21606730890.93</v>
      </c>
      <c r="Q19" s="22">
        <f>76700000</f>
        <v>76700000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22362847.14</f>
        <v>22362847.140000001</v>
      </c>
      <c r="C21" s="21">
        <f>22362847.14</f>
        <v>22362847.140000001</v>
      </c>
      <c r="D21" s="21">
        <f>4104328.19</f>
        <v>4104328.19</v>
      </c>
      <c r="E21" s="21">
        <f>414.03</f>
        <v>414.03</v>
      </c>
      <c r="F21" s="21">
        <f>0</f>
        <v>0</v>
      </c>
      <c r="G21" s="21">
        <f>4103914.16</f>
        <v>4103914.16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3075842.91</f>
        <v>3075842.91</v>
      </c>
      <c r="M21" s="21">
        <f>12695106.96</f>
        <v>12695106.960000001</v>
      </c>
      <c r="N21" s="21">
        <f>2487569.08</f>
        <v>2487569.08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15124280.94</f>
        <v>15124280.939999999</v>
      </c>
      <c r="C22" s="22">
        <f>15124280.94</f>
        <v>15124280.939999999</v>
      </c>
      <c r="D22" s="22">
        <f>1147673.52</f>
        <v>1147673.52</v>
      </c>
      <c r="E22" s="22">
        <f>181.04</f>
        <v>181.04</v>
      </c>
      <c r="F22" s="22">
        <f>0</f>
        <v>0</v>
      </c>
      <c r="G22" s="22">
        <f>1147492.48</f>
        <v>1147492.48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314106.7</f>
        <v>314106.7</v>
      </c>
      <c r="M22" s="22">
        <f>11184242.74</f>
        <v>11184242.74</v>
      </c>
      <c r="N22" s="22">
        <f>2478257.98</f>
        <v>2478257.98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7238566.2</f>
        <v>7238566.2000000002</v>
      </c>
      <c r="C23" s="22">
        <f>7238566.2</f>
        <v>7238566.2000000002</v>
      </c>
      <c r="D23" s="22">
        <f>2956654.67</f>
        <v>2956654.67</v>
      </c>
      <c r="E23" s="22">
        <f>232.99</f>
        <v>232.99</v>
      </c>
      <c r="F23" s="22">
        <f>0</f>
        <v>0</v>
      </c>
      <c r="G23" s="22">
        <f>2956421.68</f>
        <v>2956421.68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2761736.21</f>
        <v>2761736.21</v>
      </c>
      <c r="M23" s="22">
        <f>1510864.22</f>
        <v>1510864.22</v>
      </c>
      <c r="N23" s="22">
        <f>9311.1</f>
        <v>9311.1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 Kwartał 2022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108849.9</f>
        <v>108849.9</v>
      </c>
      <c r="C40" s="23">
        <f>108849.9</f>
        <v>108849.9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108849.9</f>
        <v>108849.9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108849.9</f>
        <v>108849.9</v>
      </c>
      <c r="C42" s="24">
        <f>108849.9</f>
        <v>108849.9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108849.9</f>
        <v>108849.9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395182175.5</f>
        <v>395182175.5</v>
      </c>
      <c r="C43" s="23">
        <f>395182175.5</f>
        <v>395182175.5</v>
      </c>
      <c r="D43" s="23">
        <f>127327851.4</f>
        <v>127327851.40000001</v>
      </c>
      <c r="E43" s="23">
        <f>74021</f>
        <v>74021</v>
      </c>
      <c r="F43" s="23">
        <f>113427.5</f>
        <v>113427.5</v>
      </c>
      <c r="G43" s="23">
        <f>120490402.9</f>
        <v>120490402.90000001</v>
      </c>
      <c r="H43" s="23">
        <f>6650000</f>
        <v>6650000</v>
      </c>
      <c r="I43" s="23">
        <f>0</f>
        <v>0</v>
      </c>
      <c r="J43" s="23">
        <f>0</f>
        <v>0</v>
      </c>
      <c r="K43" s="23">
        <f>154560</f>
        <v>154560</v>
      </c>
      <c r="L43" s="23">
        <f>173949567.33</f>
        <v>173949567.33000001</v>
      </c>
      <c r="M43" s="23">
        <f>89856155.32</f>
        <v>89856155.319999993</v>
      </c>
      <c r="N43" s="23">
        <f>3894041.45</f>
        <v>3894041.45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57654241.43</f>
        <v>57654241.43</v>
      </c>
      <c r="C44" s="24">
        <f>57654241.43</f>
        <v>57654241.43</v>
      </c>
      <c r="D44" s="24">
        <f>18358952.64</f>
        <v>18358952.640000001</v>
      </c>
      <c r="E44" s="24">
        <f>74021</f>
        <v>74021</v>
      </c>
      <c r="F44" s="24">
        <f>0</f>
        <v>0</v>
      </c>
      <c r="G44" s="24">
        <f>16284931.64</f>
        <v>16284931.640000001</v>
      </c>
      <c r="H44" s="24">
        <f>2000000</f>
        <v>2000000</v>
      </c>
      <c r="I44" s="24">
        <f>0</f>
        <v>0</v>
      </c>
      <c r="J44" s="24">
        <f>0</f>
        <v>0</v>
      </c>
      <c r="K44" s="24">
        <f>154560</f>
        <v>154560</v>
      </c>
      <c r="L44" s="24">
        <f>19818079.93</f>
        <v>19818079.93</v>
      </c>
      <c r="M44" s="24">
        <f>19242648.86</f>
        <v>19242648.859999999</v>
      </c>
      <c r="N44" s="24">
        <f>80000</f>
        <v>80000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337527934.07</f>
        <v>337527934.06999999</v>
      </c>
      <c r="C45" s="24">
        <f>337527934.07</f>
        <v>337527934.06999999</v>
      </c>
      <c r="D45" s="24">
        <f>108968898.76</f>
        <v>108968898.76000001</v>
      </c>
      <c r="E45" s="24">
        <f>0</f>
        <v>0</v>
      </c>
      <c r="F45" s="24">
        <f>113427.5</f>
        <v>113427.5</v>
      </c>
      <c r="G45" s="24">
        <f>104205471.26</f>
        <v>104205471.26000001</v>
      </c>
      <c r="H45" s="24">
        <f>4650000</f>
        <v>4650000</v>
      </c>
      <c r="I45" s="24">
        <f>0</f>
        <v>0</v>
      </c>
      <c r="J45" s="24">
        <f>0</f>
        <v>0</v>
      </c>
      <c r="K45" s="24">
        <f>0</f>
        <v>0</v>
      </c>
      <c r="L45" s="24">
        <f>154131487.4</f>
        <v>154131487.40000001</v>
      </c>
      <c r="M45" s="24">
        <f>70613506.46</f>
        <v>70613506.459999993</v>
      </c>
      <c r="N45" s="24">
        <f>3814041.45</f>
        <v>3814041.45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18457045033.01</f>
        <v>18457045033.009998</v>
      </c>
      <c r="C46" s="23">
        <f>18457045033.01</f>
        <v>18457045033.009998</v>
      </c>
      <c r="D46" s="23">
        <f>18454874.56</f>
        <v>18454874.559999999</v>
      </c>
      <c r="E46" s="23">
        <f>68343.42</f>
        <v>68343.42</v>
      </c>
      <c r="F46" s="23">
        <f>28836.81</f>
        <v>28836.81</v>
      </c>
      <c r="G46" s="23">
        <f>18357694.33</f>
        <v>18357694.329999998</v>
      </c>
      <c r="H46" s="23">
        <f>0</f>
        <v>0</v>
      </c>
      <c r="I46" s="23">
        <f>12190028.32</f>
        <v>12190028.32</v>
      </c>
      <c r="J46" s="23">
        <f>18424073676.94</f>
        <v>18424073676.939999</v>
      </c>
      <c r="K46" s="23">
        <f>40002.27</f>
        <v>40002.269999999997</v>
      </c>
      <c r="L46" s="23">
        <f>2105376.96</f>
        <v>2105376.96</v>
      </c>
      <c r="M46" s="23">
        <f>24058.7</f>
        <v>24058.7</v>
      </c>
      <c r="N46" s="23">
        <f>157015.26</f>
        <v>157015.26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8164241.39</f>
        <v>8164241.3899999997</v>
      </c>
      <c r="C47" s="24">
        <f>8164241.39</f>
        <v>8164241.3899999997</v>
      </c>
      <c r="D47" s="24">
        <f>8149063.95</f>
        <v>8149063.9500000002</v>
      </c>
      <c r="E47" s="24">
        <f>0</f>
        <v>0</v>
      </c>
      <c r="F47" s="24">
        <f>0</f>
        <v>0</v>
      </c>
      <c r="G47" s="24">
        <f>8149063.95</f>
        <v>8149063.9500000002</v>
      </c>
      <c r="H47" s="24">
        <f>0</f>
        <v>0</v>
      </c>
      <c r="I47" s="24">
        <f>0</f>
        <v>0</v>
      </c>
      <c r="J47" s="24">
        <f>15177.44</f>
        <v>15177.44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12772797377.52</f>
        <v>12772797377.52</v>
      </c>
      <c r="C48" s="24">
        <f>12772797377.52</f>
        <v>12772797377.52</v>
      </c>
      <c r="D48" s="24">
        <f>10112551.87</f>
        <v>10112551.869999999</v>
      </c>
      <c r="E48" s="24">
        <f>14000</f>
        <v>14000</v>
      </c>
      <c r="F48" s="24">
        <f>545.81</f>
        <v>545.80999999999995</v>
      </c>
      <c r="G48" s="24">
        <f>10098006.06</f>
        <v>10098006.060000001</v>
      </c>
      <c r="H48" s="24">
        <f>0</f>
        <v>0</v>
      </c>
      <c r="I48" s="24">
        <f>12137612.32</f>
        <v>12137612.32</v>
      </c>
      <c r="J48" s="24">
        <f>12749776369.76</f>
        <v>12749776369.76</v>
      </c>
      <c r="K48" s="24">
        <f>37258.27</f>
        <v>37258.269999999997</v>
      </c>
      <c r="L48" s="24">
        <f>731916.6</f>
        <v>731916.6</v>
      </c>
      <c r="M48" s="24">
        <f>1668.7</f>
        <v>1668.7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5676083414.1</f>
        <v>5676083414.1000004</v>
      </c>
      <c r="C49" s="24">
        <f>5676083414.1</f>
        <v>5676083414.1000004</v>
      </c>
      <c r="D49" s="24">
        <f>193258.74</f>
        <v>193258.74</v>
      </c>
      <c r="E49" s="24">
        <f>54343.42</f>
        <v>54343.42</v>
      </c>
      <c r="F49" s="24">
        <f>28291</f>
        <v>28291</v>
      </c>
      <c r="G49" s="24">
        <f>110624.32</f>
        <v>110624.32000000001</v>
      </c>
      <c r="H49" s="24">
        <f>0</f>
        <v>0</v>
      </c>
      <c r="I49" s="24">
        <f>52416</f>
        <v>52416</v>
      </c>
      <c r="J49" s="24">
        <f>5674282129.74</f>
        <v>5674282129.7399998</v>
      </c>
      <c r="K49" s="24">
        <f>2744</f>
        <v>2744</v>
      </c>
      <c r="L49" s="24">
        <f>1373460.36</f>
        <v>1373460.36</v>
      </c>
      <c r="M49" s="24">
        <f>22390</f>
        <v>22390</v>
      </c>
      <c r="N49" s="24">
        <f>157015.26</f>
        <v>157015.26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11996866813.62</f>
        <v>11996866813.620001</v>
      </c>
      <c r="C50" s="23">
        <f>11971467905.23</f>
        <v>11971467905.23</v>
      </c>
      <c r="D50" s="23">
        <f>375998399.89</f>
        <v>375998399.88999999</v>
      </c>
      <c r="E50" s="23">
        <f>72525576.2</f>
        <v>72525576.200000003</v>
      </c>
      <c r="F50" s="23">
        <f>10570738.55</f>
        <v>10570738.550000001</v>
      </c>
      <c r="G50" s="23">
        <f>291907055.47</f>
        <v>291907055.47000003</v>
      </c>
      <c r="H50" s="23">
        <f>995029.67</f>
        <v>995029.67</v>
      </c>
      <c r="I50" s="23">
        <f>3</f>
        <v>3</v>
      </c>
      <c r="J50" s="23">
        <f>541357.41</f>
        <v>541357.41</v>
      </c>
      <c r="K50" s="23">
        <f>72371728.57</f>
        <v>72371728.569999993</v>
      </c>
      <c r="L50" s="23">
        <f>2572798312.28</f>
        <v>2572798312.2800002</v>
      </c>
      <c r="M50" s="23">
        <f>8867637536.17</f>
        <v>8867637536.1700001</v>
      </c>
      <c r="N50" s="23">
        <f>82120567.91</f>
        <v>82120567.909999996</v>
      </c>
      <c r="O50" s="23">
        <f>25398908.39</f>
        <v>25398908.390000001</v>
      </c>
      <c r="P50" s="23">
        <f>14397473.8</f>
        <v>14397473.800000001</v>
      </c>
      <c r="Q50" s="23">
        <f>11001434.59</f>
        <v>11001434.59</v>
      </c>
    </row>
    <row r="51" spans="1:17" ht="26.25" customHeight="1" x14ac:dyDescent="0.2">
      <c r="A51" s="19" t="s">
        <v>37</v>
      </c>
      <c r="B51" s="24">
        <f>5073073342.41</f>
        <v>5073073342.4099998</v>
      </c>
      <c r="C51" s="24">
        <f>5071042857.85</f>
        <v>5071042857.8500004</v>
      </c>
      <c r="D51" s="24">
        <f>72393001.66</f>
        <v>72393001.659999996</v>
      </c>
      <c r="E51" s="24">
        <f>1161743.12</f>
        <v>1161743.1200000001</v>
      </c>
      <c r="F51" s="24">
        <f>2667515</f>
        <v>2667515</v>
      </c>
      <c r="G51" s="24">
        <f>68562606.8</f>
        <v>68562606.799999997</v>
      </c>
      <c r="H51" s="24">
        <f>1136.74</f>
        <v>1136.74</v>
      </c>
      <c r="I51" s="24">
        <f>0</f>
        <v>0</v>
      </c>
      <c r="J51" s="24">
        <f>30797.27</f>
        <v>30797.27</v>
      </c>
      <c r="K51" s="24">
        <f>374222.2</f>
        <v>374222.2</v>
      </c>
      <c r="L51" s="24">
        <f>695085000.72</f>
        <v>695085000.72000003</v>
      </c>
      <c r="M51" s="24">
        <f>4268967201.23</f>
        <v>4268967201.23</v>
      </c>
      <c r="N51" s="24">
        <f>34192634.77</f>
        <v>34192634.770000003</v>
      </c>
      <c r="O51" s="24">
        <f>2030484.56</f>
        <v>2030484.56</v>
      </c>
      <c r="P51" s="24">
        <f>502734.83</f>
        <v>502734.83</v>
      </c>
      <c r="Q51" s="24">
        <f>1527749.73</f>
        <v>1527749.73</v>
      </c>
    </row>
    <row r="52" spans="1:17" ht="26.25" customHeight="1" x14ac:dyDescent="0.2">
      <c r="A52" s="19" t="s">
        <v>38</v>
      </c>
      <c r="B52" s="24">
        <f>6923793471.21</f>
        <v>6923793471.21</v>
      </c>
      <c r="C52" s="24">
        <f>6900425047.38</f>
        <v>6900425047.3800001</v>
      </c>
      <c r="D52" s="24">
        <f>303605398.23</f>
        <v>303605398.23000002</v>
      </c>
      <c r="E52" s="24">
        <f>71363833.08</f>
        <v>71363833.079999998</v>
      </c>
      <c r="F52" s="24">
        <f>7903223.55</f>
        <v>7903223.5499999998</v>
      </c>
      <c r="G52" s="24">
        <f>223344448.67</f>
        <v>223344448.66999999</v>
      </c>
      <c r="H52" s="24">
        <f>993892.93</f>
        <v>993892.93</v>
      </c>
      <c r="I52" s="24">
        <f>3</f>
        <v>3</v>
      </c>
      <c r="J52" s="24">
        <f>510560.14</f>
        <v>510560.14</v>
      </c>
      <c r="K52" s="24">
        <f>71997506.37</f>
        <v>71997506.370000005</v>
      </c>
      <c r="L52" s="24">
        <f>1877713311.56</f>
        <v>1877713311.5599999</v>
      </c>
      <c r="M52" s="24">
        <f>4598670334.94</f>
        <v>4598670334.9399996</v>
      </c>
      <c r="N52" s="24">
        <f>47927933.14</f>
        <v>47927933.140000001</v>
      </c>
      <c r="O52" s="24">
        <f>23368423.83</f>
        <v>23368423.829999998</v>
      </c>
      <c r="P52" s="24">
        <f>13894738.97</f>
        <v>13894738.970000001</v>
      </c>
      <c r="Q52" s="24">
        <f>9473684.86</f>
        <v>9473684.8599999994</v>
      </c>
    </row>
    <row r="53" spans="1:17" ht="26.25" customHeight="1" x14ac:dyDescent="0.2">
      <c r="A53" s="25" t="s">
        <v>46</v>
      </c>
      <c r="B53" s="23">
        <f>12590771090.25</f>
        <v>12590771090.25</v>
      </c>
      <c r="C53" s="23">
        <f>12545609771.13</f>
        <v>12545609771.129999</v>
      </c>
      <c r="D53" s="23">
        <f>999368145.01</f>
        <v>999368145.00999999</v>
      </c>
      <c r="E53" s="23">
        <f>386200344.46</f>
        <v>386200344.45999998</v>
      </c>
      <c r="F53" s="23">
        <f>70933129.52</f>
        <v>70933129.519999996</v>
      </c>
      <c r="G53" s="23">
        <f>523336981.39</f>
        <v>523336981.38999999</v>
      </c>
      <c r="H53" s="23">
        <f>18897689.64</f>
        <v>18897689.640000001</v>
      </c>
      <c r="I53" s="23">
        <f>3382686.22</f>
        <v>3382686.22</v>
      </c>
      <c r="J53" s="23">
        <f>18971475.54</f>
        <v>18971475.539999999</v>
      </c>
      <c r="K53" s="23">
        <f>37267729.13</f>
        <v>37267729.130000003</v>
      </c>
      <c r="L53" s="23">
        <f>8118565660.1</f>
        <v>8118565660.1000004</v>
      </c>
      <c r="M53" s="23">
        <f>3076049006.28</f>
        <v>3076049006.2800002</v>
      </c>
      <c r="N53" s="23">
        <f>292005068.85</f>
        <v>292005068.85000002</v>
      </c>
      <c r="O53" s="23">
        <f>45161319.12</f>
        <v>45161319.119999997</v>
      </c>
      <c r="P53" s="23">
        <f>40765042.07</f>
        <v>40765042.07</v>
      </c>
      <c r="Q53" s="23">
        <f>4396277.05</f>
        <v>4396277.05</v>
      </c>
    </row>
    <row r="54" spans="1:17" ht="26.25" customHeight="1" x14ac:dyDescent="0.2">
      <c r="A54" s="19" t="s">
        <v>39</v>
      </c>
      <c r="B54" s="24">
        <f>942560958.49</f>
        <v>942560958.49000001</v>
      </c>
      <c r="C54" s="24">
        <f>941877775.26</f>
        <v>941877775.25999999</v>
      </c>
      <c r="D54" s="24">
        <f>52019180.8</f>
        <v>52019180.799999997</v>
      </c>
      <c r="E54" s="24">
        <f>6852605.14</f>
        <v>6852605.1399999997</v>
      </c>
      <c r="F54" s="24">
        <f>1037238.93</f>
        <v>1037238.93</v>
      </c>
      <c r="G54" s="24">
        <f>43643172.58</f>
        <v>43643172.579999998</v>
      </c>
      <c r="H54" s="24">
        <f>486164.15</f>
        <v>486164.15</v>
      </c>
      <c r="I54" s="24">
        <f>0</f>
        <v>0</v>
      </c>
      <c r="J54" s="24">
        <f>280353.61</f>
        <v>280353.61</v>
      </c>
      <c r="K54" s="24">
        <f>577658.12</f>
        <v>577658.12</v>
      </c>
      <c r="L54" s="24">
        <f>351863625.59</f>
        <v>351863625.58999997</v>
      </c>
      <c r="M54" s="24">
        <f>525979170.58</f>
        <v>525979170.57999998</v>
      </c>
      <c r="N54" s="24">
        <f>11157786.56</f>
        <v>11157786.560000001</v>
      </c>
      <c r="O54" s="24">
        <f>683183.23</f>
        <v>683183.23</v>
      </c>
      <c r="P54" s="24">
        <f>522772.54</f>
        <v>522772.54</v>
      </c>
      <c r="Q54" s="24">
        <f>160410.69</f>
        <v>160410.69</v>
      </c>
    </row>
    <row r="55" spans="1:17" ht="36.75" customHeight="1" x14ac:dyDescent="0.2">
      <c r="A55" s="19" t="s">
        <v>40</v>
      </c>
      <c r="B55" s="24">
        <f>7752333943</f>
        <v>7752333943</v>
      </c>
      <c r="C55" s="24">
        <f>7735207783.6</f>
        <v>7735207783.6000004</v>
      </c>
      <c r="D55" s="24">
        <f>452813965.23</f>
        <v>452813965.23000002</v>
      </c>
      <c r="E55" s="24">
        <f>97335911.77</f>
        <v>97335911.769999996</v>
      </c>
      <c r="F55" s="24">
        <f>58231784.66</f>
        <v>58231784.659999996</v>
      </c>
      <c r="G55" s="24">
        <f>281502574.92</f>
        <v>281502574.92000002</v>
      </c>
      <c r="H55" s="24">
        <f>15743693.88</f>
        <v>15743693.880000001</v>
      </c>
      <c r="I55" s="24">
        <f>3284944.7</f>
        <v>3284944.7</v>
      </c>
      <c r="J55" s="24">
        <f>18175427.66</f>
        <v>18175427.66</v>
      </c>
      <c r="K55" s="24">
        <f>34669339.38</f>
        <v>34669339.380000003</v>
      </c>
      <c r="L55" s="24">
        <f>5996890102.81</f>
        <v>5996890102.8100004</v>
      </c>
      <c r="M55" s="24">
        <f>1159320747.48</f>
        <v>1159320747.48</v>
      </c>
      <c r="N55" s="24">
        <f>70053256.34</f>
        <v>70053256.340000004</v>
      </c>
      <c r="O55" s="24">
        <f>17126159.4</f>
        <v>17126159.399999999</v>
      </c>
      <c r="P55" s="24">
        <f>14964184.09</f>
        <v>14964184.09</v>
      </c>
      <c r="Q55" s="24">
        <f>2161975.31</f>
        <v>2161975.31</v>
      </c>
    </row>
    <row r="56" spans="1:17" ht="26.25" customHeight="1" x14ac:dyDescent="0.2">
      <c r="A56" s="19" t="s">
        <v>41</v>
      </c>
      <c r="B56" s="24">
        <f>3895876188.76</f>
        <v>3895876188.7600002</v>
      </c>
      <c r="C56" s="24">
        <f>3868524212.27</f>
        <v>3868524212.27</v>
      </c>
      <c r="D56" s="24">
        <f>494534998.98</f>
        <v>494534998.98000002</v>
      </c>
      <c r="E56" s="24">
        <f>282011827.55</f>
        <v>282011827.55000001</v>
      </c>
      <c r="F56" s="24">
        <f>11664105.93</f>
        <v>11664105.93</v>
      </c>
      <c r="G56" s="24">
        <f>198191233.89</f>
        <v>198191233.88999999</v>
      </c>
      <c r="H56" s="24">
        <f>2667831.61</f>
        <v>2667831.61</v>
      </c>
      <c r="I56" s="24">
        <f>97741.52</f>
        <v>97741.52</v>
      </c>
      <c r="J56" s="24">
        <f>515694.27</f>
        <v>515694.27</v>
      </c>
      <c r="K56" s="24">
        <f>2020731.63</f>
        <v>2020731.63</v>
      </c>
      <c r="L56" s="24">
        <f>1769811931.7</f>
        <v>1769811931.7</v>
      </c>
      <c r="M56" s="24">
        <f>1390749088.22</f>
        <v>1390749088.22</v>
      </c>
      <c r="N56" s="24">
        <f>210794025.95</f>
        <v>210794025.94999999</v>
      </c>
      <c r="O56" s="24">
        <f>27351976.49</f>
        <v>27351976.489999998</v>
      </c>
      <c r="P56" s="24">
        <f>25278085.44</f>
        <v>25278085.440000001</v>
      </c>
      <c r="Q56" s="24">
        <f>2073891.05</f>
        <v>2073891.05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 Kwartał 2022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1763872600.62</f>
        <v>1763872600.6199999</v>
      </c>
      <c r="G76" s="22">
        <f>271361023.76</f>
        <v>271361023.75999999</v>
      </c>
      <c r="H76" s="22">
        <f>19147000</f>
        <v>19147000</v>
      </c>
      <c r="I76" s="22">
        <f>103610751</f>
        <v>103610751</v>
      </c>
      <c r="J76" s="22">
        <f>148603272.76</f>
        <v>148603272.75999999</v>
      </c>
      <c r="K76" s="22">
        <f>0</f>
        <v>0</v>
      </c>
      <c r="L76" s="22">
        <f>1492511576.86</f>
        <v>1492511576.8599999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4374000</f>
        <v>4374000</v>
      </c>
      <c r="G78" s="22">
        <f>1130000</f>
        <v>1130000</v>
      </c>
      <c r="H78" s="22">
        <f>0</f>
        <v>0</v>
      </c>
      <c r="I78" s="22">
        <f>0</f>
        <v>0</v>
      </c>
      <c r="J78" s="22">
        <f>1130000</f>
        <v>1130000</v>
      </c>
      <c r="K78" s="22">
        <f>0</f>
        <v>0</v>
      </c>
      <c r="L78" s="22">
        <f>3244000</f>
        <v>3244000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4500001.34</f>
        <v>4500001.34</v>
      </c>
      <c r="G79" s="22">
        <f>0</f>
        <v>0</v>
      </c>
      <c r="H79" s="22">
        <f>0</f>
        <v>0</v>
      </c>
      <c r="I79" s="22">
        <f>0</f>
        <v>0</v>
      </c>
      <c r="J79" s="22">
        <f>0</f>
        <v>0</v>
      </c>
      <c r="K79" s="22">
        <f>0</f>
        <v>0</v>
      </c>
      <c r="L79" s="22">
        <f>4500001.34</f>
        <v>4500001.34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2680424.97</f>
        <v>2680424.9700000002</v>
      </c>
      <c r="G80" s="22">
        <f>0</f>
        <v>0</v>
      </c>
      <c r="H80" s="22">
        <f>0</f>
        <v>0</v>
      </c>
      <c r="I80" s="22">
        <f>0</f>
        <v>0</v>
      </c>
      <c r="J80" s="22">
        <f>0</f>
        <v>0</v>
      </c>
      <c r="K80" s="22">
        <f>0</f>
        <v>0</v>
      </c>
      <c r="L80" s="22">
        <f>2680424.97</f>
        <v>2680424.9700000002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1518358.26</f>
        <v>1518358.26</v>
      </c>
      <c r="G81" s="22">
        <f>695974.66</f>
        <v>695974.66</v>
      </c>
      <c r="H81" s="22">
        <f>0</f>
        <v>0</v>
      </c>
      <c r="I81" s="22">
        <f>0</f>
        <v>0</v>
      </c>
      <c r="J81" s="22">
        <f>695974.66</f>
        <v>695974.66</v>
      </c>
      <c r="K81" s="22">
        <f>0</f>
        <v>0</v>
      </c>
      <c r="L81" s="22">
        <f>822383.6</f>
        <v>822383.6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 Kwartał 2022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62</f>
        <v>62</v>
      </c>
      <c r="H88" s="60"/>
      <c r="I88" s="46">
        <f>4631838206.61</f>
        <v>4631838206.6099997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4</f>
        <v>4</v>
      </c>
      <c r="H89" s="64"/>
      <c r="I89" s="48">
        <f>-29751301.2</f>
        <v>-29751301.199999999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10</v>
      </c>
      <c r="B94" s="8">
        <f>2022</f>
        <v>2022</v>
      </c>
      <c r="C94" s="9"/>
    </row>
    <row r="95" spans="1:13" ht="13.5" customHeight="1" x14ac:dyDescent="0.2">
      <c r="A95" s="8" t="s">
        <v>11</v>
      </c>
      <c r="B95" s="10" t="str">
        <f>"May 19 2022 12:00AM"</f>
        <v>May 19 2022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2022-06-13T19:50:53Z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2022-06-13T21:50:50.9537275+02:00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GRN-5cf69495-a4a5-49c5-b7dc-5ca31fc43881</vt:lpwstr>
  </property>
  <property fmtid="{D5CDD505-2E9C-101B-9397-08002B2CF9AE}" pid="7" name="MFHash">
    <vt:lpwstr>MYvBlGlqsrSoGM+QccXhTDLSMQ6GykBar91RJU63KeA=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