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 s="1"/>
  <c r="A34" i="7" l="1"/>
  <c r="A1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<sst xmlns="http://schemas.openxmlformats.org/spreadsheetml/2006/main" count="97" uniqueCount="81">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</sst>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40" t="str">
        <f>CONCATENATE("Informacja z wykonania budżetów gmin za ",$C$104," ",$B$105," roku   ",$B$107,"")</f>
        <v xml:space="preserve">Informacja z wykonania budżetów gmin za I Kwartał 2023 roku   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80" t="s">
        <v>64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92" t="s">
        <v>0</v>
      </c>
      <c r="B6" s="91" t="s">
        <v>65</v>
      </c>
      <c r="C6" s="84" t="s">
        <v>69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6"/>
      <c r="O6" s="36" t="s">
        <v>68</v>
      </c>
      <c r="P6" s="37"/>
      <c r="Q6" s="38"/>
    </row>
    <row r="7" spans="1:17" ht="13.5" customHeight="1" x14ac:dyDescent="0.2">
      <c r="A7" s="93"/>
      <c r="B7" s="87"/>
      <c r="C7" s="81" t="s">
        <v>66</v>
      </c>
      <c r="D7" s="81" t="s">
        <v>77</v>
      </c>
      <c r="E7" s="81" t="s">
        <v>70</v>
      </c>
      <c r="F7" s="81" t="s">
        <v>71</v>
      </c>
      <c r="G7" s="81" t="s">
        <v>27</v>
      </c>
      <c r="H7" s="81" t="s">
        <v>28</v>
      </c>
      <c r="I7" s="82" t="s">
        <v>67</v>
      </c>
      <c r="J7" s="81" t="s">
        <v>16</v>
      </c>
      <c r="K7" s="81" t="s">
        <v>17</v>
      </c>
      <c r="L7" s="81" t="s">
        <v>18</v>
      </c>
      <c r="M7" s="81" t="s">
        <v>19</v>
      </c>
      <c r="N7" s="87" t="s">
        <v>20</v>
      </c>
      <c r="O7" s="39" t="s">
        <v>21</v>
      </c>
      <c r="P7" s="39" t="s">
        <v>22</v>
      </c>
      <c r="Q7" s="39" t="s">
        <v>23</v>
      </c>
    </row>
    <row r="8" spans="1:17" ht="13.5" customHeight="1" x14ac:dyDescent="0.2">
      <c r="A8" s="93"/>
      <c r="B8" s="87"/>
      <c r="C8" s="41"/>
      <c r="D8" s="41"/>
      <c r="E8" s="41"/>
      <c r="F8" s="41"/>
      <c r="G8" s="41"/>
      <c r="H8" s="41"/>
      <c r="I8" s="82"/>
      <c r="J8" s="41"/>
      <c r="K8" s="41"/>
      <c r="L8" s="41"/>
      <c r="M8" s="41"/>
      <c r="N8" s="87"/>
      <c r="O8" s="39"/>
      <c r="P8" s="39"/>
      <c r="Q8" s="39"/>
    </row>
    <row r="9" spans="1:17" ht="11.25" customHeight="1" x14ac:dyDescent="0.2">
      <c r="A9" s="93"/>
      <c r="B9" s="87"/>
      <c r="C9" s="41"/>
      <c r="D9" s="41"/>
      <c r="E9" s="41"/>
      <c r="F9" s="41"/>
      <c r="G9" s="41"/>
      <c r="H9" s="41"/>
      <c r="I9" s="82"/>
      <c r="J9" s="41"/>
      <c r="K9" s="41"/>
      <c r="L9" s="41"/>
      <c r="M9" s="41"/>
      <c r="N9" s="87"/>
      <c r="O9" s="39"/>
      <c r="P9" s="39"/>
      <c r="Q9" s="39"/>
    </row>
    <row r="10" spans="1:17" ht="16.5" customHeight="1" x14ac:dyDescent="0.2">
      <c r="A10" s="94"/>
      <c r="B10" s="81"/>
      <c r="C10" s="41"/>
      <c r="D10" s="41"/>
      <c r="E10" s="41"/>
      <c r="F10" s="41"/>
      <c r="G10" s="41"/>
      <c r="H10" s="41"/>
      <c r="I10" s="83"/>
      <c r="J10" s="41"/>
      <c r="K10" s="41"/>
      <c r="L10" s="41"/>
      <c r="M10" s="41"/>
      <c r="N10" s="81"/>
      <c r="O10" s="39"/>
      <c r="P10" s="39"/>
      <c r="Q10" s="39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95" t="s">
        <v>80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63"/>
      <c r="P12" s="63"/>
      <c r="Q12" s="64"/>
    </row>
    <row r="13" spans="1:17" ht="48" x14ac:dyDescent="0.2">
      <c r="A13" s="27" t="s">
        <v>46</v>
      </c>
      <c r="B13" s="28">
        <f>33375813898.06</f>
        <v>33375813898.060001</v>
      </c>
      <c r="C13" s="28">
        <f>33375810687.32</f>
        <v>33375810687.32</v>
      </c>
      <c r="D13" s="28">
        <f>2422644192.48</f>
        <v>2422644192.48</v>
      </c>
      <c r="E13" s="28">
        <f>216153257.79</f>
        <v>216153257.78999999</v>
      </c>
      <c r="F13" s="28">
        <f>447416183.52</f>
        <v>447416183.51999998</v>
      </c>
      <c r="G13" s="28">
        <f>1759039080.63</f>
        <v>1759039080.6300001</v>
      </c>
      <c r="H13" s="28">
        <f>35670.54</f>
        <v>35670.54</v>
      </c>
      <c r="I13" s="28">
        <f>0</f>
        <v>0</v>
      </c>
      <c r="J13" s="28">
        <f>28980675452.7</f>
        <v>28980675452.700001</v>
      </c>
      <c r="K13" s="28">
        <f>1705716413.85</f>
        <v>1705716413.8499999</v>
      </c>
      <c r="L13" s="28">
        <f>237108547.89</f>
        <v>237108547.88999999</v>
      </c>
      <c r="M13" s="28">
        <f>13143231.69</f>
        <v>13143231.689999999</v>
      </c>
      <c r="N13" s="28">
        <f>16522848.71</f>
        <v>16522848.710000001</v>
      </c>
      <c r="O13" s="28">
        <f>3210.74</f>
        <v>3210.74</v>
      </c>
      <c r="P13" s="28">
        <f>0</f>
        <v>0</v>
      </c>
      <c r="Q13" s="28">
        <f>3210.74</f>
        <v>3210.74</v>
      </c>
    </row>
    <row r="14" spans="1:17" ht="26.25" customHeight="1" x14ac:dyDescent="0.2">
      <c r="A14" s="29" t="s">
        <v>47</v>
      </c>
      <c r="B14" s="28">
        <f>894594199.02</f>
        <v>894594199.01999998</v>
      </c>
      <c r="C14" s="28">
        <f>894594199.02</f>
        <v>894594199.01999998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842346293.65</f>
        <v>842346293.64999998</v>
      </c>
      <c r="K14" s="28">
        <f>52000000</f>
        <v>52000000</v>
      </c>
      <c r="L14" s="28">
        <f>247905.37</f>
        <v>247905.37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5568448.64</f>
        <v>5568448.6399999997</v>
      </c>
      <c r="C15" s="33">
        <f>5568448.64</f>
        <v>5568448.6399999997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5220543.27</f>
        <v>5220543.2699999996</v>
      </c>
      <c r="K15" s="33">
        <f>100000</f>
        <v>100000</v>
      </c>
      <c r="L15" s="33">
        <f>247905.37</f>
        <v>247905.37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889025750.38</f>
        <v>889025750.38</v>
      </c>
      <c r="C16" s="33">
        <f>889025750.38</f>
        <v>889025750.38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837125750.38</f>
        <v>837125750.38</v>
      </c>
      <c r="K16" s="33">
        <f>51900000</f>
        <v>51900000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32430678662.7</f>
        <v>32430678662.700001</v>
      </c>
      <c r="C17" s="28">
        <f>32430678662.7</f>
        <v>32430678662.700001</v>
      </c>
      <c r="D17" s="28">
        <f>2409613619.35</f>
        <v>2409613619.3499999</v>
      </c>
      <c r="E17" s="28">
        <f>214015099.95</f>
        <v>214015099.94999999</v>
      </c>
      <c r="F17" s="28">
        <f>447207803.57</f>
        <v>447207803.56999999</v>
      </c>
      <c r="G17" s="28">
        <f>1748365327.89</f>
        <v>1748365327.8900001</v>
      </c>
      <c r="H17" s="28">
        <f>25387.94</f>
        <v>25387.94</v>
      </c>
      <c r="I17" s="28">
        <f>0</f>
        <v>0</v>
      </c>
      <c r="J17" s="28">
        <f>28137480297.49</f>
        <v>28137480297.490002</v>
      </c>
      <c r="K17" s="28">
        <f>1653605557.02</f>
        <v>1653605557.02</v>
      </c>
      <c r="L17" s="28">
        <f>212478207.13</f>
        <v>212478207.13</v>
      </c>
      <c r="M17" s="28">
        <f>5030037.6</f>
        <v>5030037.5999999996</v>
      </c>
      <c r="N17" s="28">
        <f>12470944.11</f>
        <v>12470944.109999999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360317859.54</f>
        <v>360317859.54000002</v>
      </c>
      <c r="C18" s="33">
        <f>360317859.54</f>
        <v>360317859.54000002</v>
      </c>
      <c r="D18" s="33">
        <f>15323929.96</f>
        <v>15323929.960000001</v>
      </c>
      <c r="E18" s="33">
        <f>8258052.82</f>
        <v>8258052.8200000003</v>
      </c>
      <c r="F18" s="33">
        <f>2369356.45</f>
        <v>2369356.4500000002</v>
      </c>
      <c r="G18" s="33">
        <f>4696520.69</f>
        <v>4696520.6900000004</v>
      </c>
      <c r="H18" s="33">
        <f>0</f>
        <v>0</v>
      </c>
      <c r="I18" s="33">
        <f>0</f>
        <v>0</v>
      </c>
      <c r="J18" s="33">
        <f>307299830.43</f>
        <v>307299830.43000001</v>
      </c>
      <c r="K18" s="33">
        <f>36863275.24</f>
        <v>36863275.240000002</v>
      </c>
      <c r="L18" s="33">
        <f>812823.91</f>
        <v>812823.91</v>
      </c>
      <c r="M18" s="33">
        <f>18000</f>
        <v>18000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32070360803.16</f>
        <v>32070360803.16</v>
      </c>
      <c r="C19" s="33">
        <f>32070360803.16</f>
        <v>32070360803.16</v>
      </c>
      <c r="D19" s="33">
        <f>2394289689.39</f>
        <v>2394289689.3899999</v>
      </c>
      <c r="E19" s="33">
        <f>205757047.13</f>
        <v>205757047.13</v>
      </c>
      <c r="F19" s="33">
        <f>444838447.12</f>
        <v>444838447.12</v>
      </c>
      <c r="G19" s="33">
        <f>1743668807.2</f>
        <v>1743668807.2</v>
      </c>
      <c r="H19" s="33">
        <f>25387.94</f>
        <v>25387.94</v>
      </c>
      <c r="I19" s="33">
        <f>0</f>
        <v>0</v>
      </c>
      <c r="J19" s="33">
        <f>27830180467.06</f>
        <v>27830180467.060001</v>
      </c>
      <c r="K19" s="33">
        <f>1616742281.78</f>
        <v>1616742281.78</v>
      </c>
      <c r="L19" s="33">
        <f>211665383.22</f>
        <v>211665383.22</v>
      </c>
      <c r="M19" s="33">
        <f>5012037.6</f>
        <v>5012037.5999999996</v>
      </c>
      <c r="N19" s="33">
        <f>12470944.11</f>
        <v>12470944.109999999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50541036.34</f>
        <v>50541036.340000004</v>
      </c>
      <c r="C21" s="28">
        <f>50537825.6</f>
        <v>50537825.600000001</v>
      </c>
      <c r="D21" s="28">
        <f>13030573.13</f>
        <v>13030573.130000001</v>
      </c>
      <c r="E21" s="28">
        <f>2138157.84</f>
        <v>2138157.84</v>
      </c>
      <c r="F21" s="28">
        <f>208379.95</f>
        <v>208379.95</v>
      </c>
      <c r="G21" s="28">
        <f>10673752.74</f>
        <v>10673752.74</v>
      </c>
      <c r="H21" s="28">
        <f>10282.6</f>
        <v>10282.6</v>
      </c>
      <c r="I21" s="28">
        <f>0</f>
        <v>0</v>
      </c>
      <c r="J21" s="28">
        <f>848861.56</f>
        <v>848861.56</v>
      </c>
      <c r="K21" s="28">
        <f>110856.83</f>
        <v>110856.83</v>
      </c>
      <c r="L21" s="28">
        <f>24382435.39</f>
        <v>24382435.390000001</v>
      </c>
      <c r="M21" s="28">
        <f>8113194.09</f>
        <v>8113194.0899999999</v>
      </c>
      <c r="N21" s="28">
        <f>4051904.6</f>
        <v>4051904.6</v>
      </c>
      <c r="O21" s="28">
        <f>3210.74</f>
        <v>3210.74</v>
      </c>
      <c r="P21" s="28">
        <f>0</f>
        <v>0</v>
      </c>
      <c r="Q21" s="28">
        <f>3210.74</f>
        <v>3210.74</v>
      </c>
    </row>
    <row r="22" spans="1:17" ht="27" customHeight="1" x14ac:dyDescent="0.2">
      <c r="A22" s="19" t="s">
        <v>55</v>
      </c>
      <c r="B22" s="33">
        <f>26933857.63</f>
        <v>26933857.629999999</v>
      </c>
      <c r="C22" s="33">
        <f>26933857.63</f>
        <v>26933857.629999999</v>
      </c>
      <c r="D22" s="33">
        <f>1247344.45</f>
        <v>1247344.45</v>
      </c>
      <c r="E22" s="33">
        <f>0</f>
        <v>0</v>
      </c>
      <c r="F22" s="33">
        <f>250</f>
        <v>250</v>
      </c>
      <c r="G22" s="33">
        <f>1247094.45</f>
        <v>1247094.45</v>
      </c>
      <c r="H22" s="33">
        <f>0</f>
        <v>0</v>
      </c>
      <c r="I22" s="33">
        <f>0</f>
        <v>0</v>
      </c>
      <c r="J22" s="33">
        <f>455268</f>
        <v>455268</v>
      </c>
      <c r="K22" s="33">
        <f>759.76</f>
        <v>759.76</v>
      </c>
      <c r="L22" s="33">
        <f>16555588.94</f>
        <v>16555588.939999999</v>
      </c>
      <c r="M22" s="33">
        <f>5232796.87</f>
        <v>5232796.87</v>
      </c>
      <c r="N22" s="33">
        <f>3442099.61</f>
        <v>3442099.61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23607178.71</f>
        <v>23607178.710000001</v>
      </c>
      <c r="C23" s="33">
        <f>23603967.97</f>
        <v>23603967.969999999</v>
      </c>
      <c r="D23" s="33">
        <f>11783228.68</f>
        <v>11783228.68</v>
      </c>
      <c r="E23" s="33">
        <f>2138157.84</f>
        <v>2138157.84</v>
      </c>
      <c r="F23" s="33">
        <f>208129.95</f>
        <v>208129.95</v>
      </c>
      <c r="G23" s="33">
        <f>9426658.29</f>
        <v>9426658.2899999991</v>
      </c>
      <c r="H23" s="33">
        <f>10282.6</f>
        <v>10282.6</v>
      </c>
      <c r="I23" s="33">
        <f>0</f>
        <v>0</v>
      </c>
      <c r="J23" s="33">
        <f>393593.56</f>
        <v>393593.56</v>
      </c>
      <c r="K23" s="33">
        <f>110097.07</f>
        <v>110097.07</v>
      </c>
      <c r="L23" s="33">
        <f>7826846.45</f>
        <v>7826846.4500000002</v>
      </c>
      <c r="M23" s="33">
        <f>2880397.22</f>
        <v>2880397.22</v>
      </c>
      <c r="N23" s="33">
        <f>609804.99</f>
        <v>609804.99</v>
      </c>
      <c r="O23" s="33">
        <f>3210.74</f>
        <v>3210.74</v>
      </c>
      <c r="P23" s="33">
        <f>0</f>
        <v>0</v>
      </c>
      <c r="Q23" s="33">
        <f>3210.74</f>
        <v>3210.74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40" t="str">
        <f>CONCATENATE("Informacja z wykonania budżetów gmin za ",$C$104," ",$B$105," roku   ",$B$107,"")</f>
        <v xml:space="preserve">Informacja z wykonania budżetów gmin za I Kwartał 2023 roku   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6" spans="1:17" ht="13.5" customHeight="1" x14ac:dyDescent="0.2">
      <c r="A36" s="80" t="s">
        <v>11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8" spans="1:17" ht="13.5" customHeight="1" x14ac:dyDescent="0.2">
      <c r="A38" s="97" t="s">
        <v>0</v>
      </c>
      <c r="B38" s="91" t="s">
        <v>12</v>
      </c>
      <c r="C38" s="84" t="s">
        <v>14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88" t="s">
        <v>24</v>
      </c>
      <c r="P38" s="89"/>
      <c r="Q38" s="90"/>
    </row>
    <row r="39" spans="1:17" ht="13.5" customHeight="1" x14ac:dyDescent="0.2">
      <c r="A39" s="98"/>
      <c r="B39" s="87"/>
      <c r="C39" s="87" t="s">
        <v>13</v>
      </c>
      <c r="D39" s="41" t="s">
        <v>15</v>
      </c>
      <c r="E39" s="41" t="s">
        <v>25</v>
      </c>
      <c r="F39" s="41" t="s">
        <v>26</v>
      </c>
      <c r="G39" s="41" t="s">
        <v>74</v>
      </c>
      <c r="H39" s="41" t="s">
        <v>28</v>
      </c>
      <c r="I39" s="41" t="s">
        <v>1</v>
      </c>
      <c r="J39" s="41" t="s">
        <v>16</v>
      </c>
      <c r="K39" s="41" t="s">
        <v>17</v>
      </c>
      <c r="L39" s="41" t="s">
        <v>18</v>
      </c>
      <c r="M39" s="41" t="s">
        <v>19</v>
      </c>
      <c r="N39" s="100" t="s">
        <v>20</v>
      </c>
      <c r="O39" s="39" t="s">
        <v>21</v>
      </c>
      <c r="P39" s="39" t="s">
        <v>22</v>
      </c>
      <c r="Q39" s="42" t="s">
        <v>23</v>
      </c>
    </row>
    <row r="40" spans="1:17" ht="11.25" customHeight="1" x14ac:dyDescent="0.2">
      <c r="A40" s="98"/>
      <c r="B40" s="87"/>
      <c r="C40" s="8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100"/>
      <c r="O40" s="39"/>
      <c r="P40" s="39"/>
      <c r="Q40" s="43"/>
    </row>
    <row r="41" spans="1:17" ht="32.25" customHeight="1" x14ac:dyDescent="0.2">
      <c r="A41" s="99"/>
      <c r="B41" s="81"/>
      <c r="C41" s="8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100"/>
      <c r="O41" s="39"/>
      <c r="P41" s="39"/>
      <c r="Q41" s="44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84" t="s">
        <v>80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6"/>
    </row>
    <row r="44" spans="1:17" ht="24.75" customHeight="1" x14ac:dyDescent="0.2">
      <c r="A44" s="34" t="s">
        <v>41</v>
      </c>
      <c r="B44" s="35">
        <f>11837739.91</f>
        <v>11837739.91</v>
      </c>
      <c r="C44" s="35">
        <f>11837739.91</f>
        <v>11837739.91</v>
      </c>
      <c r="D44" s="35">
        <f>344245.17</f>
        <v>344245.17</v>
      </c>
      <c r="E44" s="35">
        <f>0</f>
        <v>0</v>
      </c>
      <c r="F44" s="35">
        <f>0</f>
        <v>0</v>
      </c>
      <c r="G44" s="35">
        <f>344245.17</f>
        <v>344245.17</v>
      </c>
      <c r="H44" s="35">
        <f>0</f>
        <v>0</v>
      </c>
      <c r="I44" s="35">
        <f>0</f>
        <v>0</v>
      </c>
      <c r="J44" s="35">
        <f>128844.4</f>
        <v>128844.4</v>
      </c>
      <c r="K44" s="35">
        <f>25555</f>
        <v>25555</v>
      </c>
      <c r="L44" s="35">
        <f>10188048.93</f>
        <v>10188048.93</v>
      </c>
      <c r="M44" s="35">
        <f>1151046.41</f>
        <v>1151046.4099999999</v>
      </c>
      <c r="N44" s="35">
        <f>0</f>
        <v>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1007047.15</f>
        <v>1007047.15</v>
      </c>
      <c r="C45" s="26">
        <f>1007047.15</f>
        <v>1007047.15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1000000</f>
        <v>1000000</v>
      </c>
      <c r="M45" s="26">
        <f>1047.15</f>
        <v>1047.1500000000001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10830692.76</f>
        <v>10830692.76</v>
      </c>
      <c r="C46" s="26">
        <f>10830692.76</f>
        <v>10830692.76</v>
      </c>
      <c r="D46" s="26">
        <f>344245.17</f>
        <v>344245.17</v>
      </c>
      <c r="E46" s="26">
        <f>0</f>
        <v>0</v>
      </c>
      <c r="F46" s="26">
        <f>0</f>
        <v>0</v>
      </c>
      <c r="G46" s="26">
        <f>344245.17</f>
        <v>344245.17</v>
      </c>
      <c r="H46" s="26">
        <f>0</f>
        <v>0</v>
      </c>
      <c r="I46" s="26">
        <f>0</f>
        <v>0</v>
      </c>
      <c r="J46" s="26">
        <f>122844.4</f>
        <v>122844.4</v>
      </c>
      <c r="K46" s="26">
        <f>25555</f>
        <v>25555</v>
      </c>
      <c r="L46" s="26">
        <f>9188048.93</f>
        <v>9188048.9299999997</v>
      </c>
      <c r="M46" s="26">
        <f>1149999.26</f>
        <v>1149999.26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431048812.29</f>
        <v>431048812.29000002</v>
      </c>
      <c r="C47" s="26">
        <f>431048812.29</f>
        <v>431048812.29000002</v>
      </c>
      <c r="D47" s="26">
        <f>33272908.93</f>
        <v>33272908.93</v>
      </c>
      <c r="E47" s="26">
        <f>20472.21</f>
        <v>20472.21</v>
      </c>
      <c r="F47" s="26">
        <f>104232</f>
        <v>104232</v>
      </c>
      <c r="G47" s="26">
        <f>27645316.72</f>
        <v>27645316.719999999</v>
      </c>
      <c r="H47" s="26">
        <f>5502888</f>
        <v>5502888</v>
      </c>
      <c r="I47" s="26">
        <f>0</f>
        <v>0</v>
      </c>
      <c r="J47" s="26">
        <f>52844.07</f>
        <v>52844.07</v>
      </c>
      <c r="K47" s="26">
        <f>200000</f>
        <v>200000</v>
      </c>
      <c r="L47" s="26">
        <f>178509479.07</f>
        <v>178509479.06999999</v>
      </c>
      <c r="M47" s="26">
        <f>187743570.39</f>
        <v>187743570.38999999</v>
      </c>
      <c r="N47" s="26">
        <f>31270009.83</f>
        <v>31270009.829999998</v>
      </c>
      <c r="O47" s="15">
        <f>0</f>
        <v>0</v>
      </c>
      <c r="P47" s="15">
        <f>0</f>
        <v>0</v>
      </c>
      <c r="Q47" s="15">
        <f>0</f>
        <v>0</v>
      </c>
    </row>
    <row r="48" spans="1:17" ht="24.75" customHeight="1" x14ac:dyDescent="0.2">
      <c r="A48" s="23" t="s">
        <v>31</v>
      </c>
      <c r="B48" s="26">
        <f>54053577.75</f>
        <v>54053577.75</v>
      </c>
      <c r="C48" s="26">
        <f>54053577.75</f>
        <v>54053577.75</v>
      </c>
      <c r="D48" s="26">
        <f>16620627.11</f>
        <v>16620627.109999999</v>
      </c>
      <c r="E48" s="26">
        <f>925.94</f>
        <v>925.94</v>
      </c>
      <c r="F48" s="26">
        <f>100000</f>
        <v>100000</v>
      </c>
      <c r="G48" s="26">
        <f>11219701.17</f>
        <v>11219701.17</v>
      </c>
      <c r="H48" s="26">
        <f>5300000</f>
        <v>5300000</v>
      </c>
      <c r="I48" s="26">
        <f>0</f>
        <v>0</v>
      </c>
      <c r="J48" s="26">
        <f>0</f>
        <v>0</v>
      </c>
      <c r="K48" s="26">
        <f>200000</f>
        <v>200000</v>
      </c>
      <c r="L48" s="26">
        <f>24248035.98</f>
        <v>24248035.98</v>
      </c>
      <c r="M48" s="26">
        <f>3444747.61</f>
        <v>3444747.61</v>
      </c>
      <c r="N48" s="26">
        <f>9540167.05</f>
        <v>9540167.0500000007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376995234.54</f>
        <v>376995234.54000002</v>
      </c>
      <c r="C49" s="26">
        <f>376995234.54</f>
        <v>376995234.54000002</v>
      </c>
      <c r="D49" s="26">
        <f>16652281.82</f>
        <v>16652281.82</v>
      </c>
      <c r="E49" s="26">
        <f>19546.27</f>
        <v>19546.27</v>
      </c>
      <c r="F49" s="26">
        <f>4232</f>
        <v>4232</v>
      </c>
      <c r="G49" s="26">
        <f>16425615.55</f>
        <v>16425615.550000001</v>
      </c>
      <c r="H49" s="26">
        <f>202888</f>
        <v>202888</v>
      </c>
      <c r="I49" s="26">
        <f>0</f>
        <v>0</v>
      </c>
      <c r="J49" s="26">
        <f>52844.07</f>
        <v>52844.07</v>
      </c>
      <c r="K49" s="26">
        <f>0</f>
        <v>0</v>
      </c>
      <c r="L49" s="26">
        <f>154261443.09</f>
        <v>154261443.09</v>
      </c>
      <c r="M49" s="26">
        <f>184298822.78</f>
        <v>184298822.78</v>
      </c>
      <c r="N49" s="26">
        <f>21729842.78</f>
        <v>21729842.780000001</v>
      </c>
      <c r="O49" s="15">
        <f>0</f>
        <v>0</v>
      </c>
      <c r="P49" s="15">
        <f>0</f>
        <v>0</v>
      </c>
      <c r="Q49" s="15">
        <f>0</f>
        <v>0</v>
      </c>
    </row>
    <row r="50" spans="1:17" ht="24.75" customHeight="1" x14ac:dyDescent="0.2">
      <c r="A50" s="34" t="s">
        <v>43</v>
      </c>
      <c r="B50" s="35">
        <f>28462088182.99</f>
        <v>28462088182.990002</v>
      </c>
      <c r="C50" s="35">
        <f>28462088182.99</f>
        <v>28462088182.990002</v>
      </c>
      <c r="D50" s="35">
        <f>9562559.27</f>
        <v>9562559.2699999996</v>
      </c>
      <c r="E50" s="35">
        <f>880655.69</f>
        <v>880655.69</v>
      </c>
      <c r="F50" s="35">
        <f>7974.58</f>
        <v>7974.58</v>
      </c>
      <c r="G50" s="35">
        <f>8671707</f>
        <v>8671707</v>
      </c>
      <c r="H50" s="35">
        <f>2222</f>
        <v>2222</v>
      </c>
      <c r="I50" s="35">
        <f>0</f>
        <v>0</v>
      </c>
      <c r="J50" s="35">
        <f>28441423568.47</f>
        <v>28441423568.470001</v>
      </c>
      <c r="K50" s="35">
        <f>155834.04</f>
        <v>155834.04</v>
      </c>
      <c r="L50" s="35">
        <f>10729827.97</f>
        <v>10729827.970000001</v>
      </c>
      <c r="M50" s="35">
        <f>216393.24</f>
        <v>216393.24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8596360.94</f>
        <v>8596360.9399999995</v>
      </c>
      <c r="C51" s="26">
        <f>8596360.94</f>
        <v>8596360.9399999995</v>
      </c>
      <c r="D51" s="26">
        <f>8596360.94</f>
        <v>8596360.9399999995</v>
      </c>
      <c r="E51" s="26">
        <f>0</f>
        <v>0</v>
      </c>
      <c r="F51" s="26">
        <f>0</f>
        <v>0</v>
      </c>
      <c r="G51" s="26">
        <f>8596360.94</f>
        <v>8596360.9399999995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20665688629.43</f>
        <v>20665688629.43</v>
      </c>
      <c r="C52" s="26">
        <f>20665688629.43</f>
        <v>20665688629.43</v>
      </c>
      <c r="D52" s="26">
        <f>319796.46</f>
        <v>319796.46000000002</v>
      </c>
      <c r="E52" s="26">
        <f>297198.6</f>
        <v>297198.59999999998</v>
      </c>
      <c r="F52" s="26">
        <f>6480</f>
        <v>6480</v>
      </c>
      <c r="G52" s="26">
        <f>13895.86</f>
        <v>13895.86</v>
      </c>
      <c r="H52" s="26">
        <f>2222</f>
        <v>2222</v>
      </c>
      <c r="I52" s="26">
        <f>0</f>
        <v>0</v>
      </c>
      <c r="J52" s="26">
        <f>20654684721.75</f>
        <v>20654684721.75</v>
      </c>
      <c r="K52" s="26">
        <f>153327.72</f>
        <v>153327.72</v>
      </c>
      <c r="L52" s="26">
        <f>10432241.62</f>
        <v>10432241.619999999</v>
      </c>
      <c r="M52" s="26">
        <f>98541.88</f>
        <v>98541.88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7787803192.62</f>
        <v>7787803192.6199999</v>
      </c>
      <c r="C53" s="26">
        <f>7787803192.62</f>
        <v>7787803192.6199999</v>
      </c>
      <c r="D53" s="26">
        <f>646401.87</f>
        <v>646401.87</v>
      </c>
      <c r="E53" s="26">
        <f>583457.09</f>
        <v>583457.09</v>
      </c>
      <c r="F53" s="26">
        <f>1494.58</f>
        <v>1494.58</v>
      </c>
      <c r="G53" s="26">
        <f>61450.2</f>
        <v>61450.2</v>
      </c>
      <c r="H53" s="26">
        <f>0</f>
        <v>0</v>
      </c>
      <c r="I53" s="26">
        <f>0</f>
        <v>0</v>
      </c>
      <c r="J53" s="26">
        <f>7786738846.72</f>
        <v>7786738846.7200003</v>
      </c>
      <c r="K53" s="26">
        <f>2506.32</f>
        <v>2506.3200000000002</v>
      </c>
      <c r="L53" s="26">
        <f>297586.35</f>
        <v>297586.34999999998</v>
      </c>
      <c r="M53" s="26">
        <f>117851.36</f>
        <v>117851.36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10090257672.3</f>
        <v>10090257672.299999</v>
      </c>
      <c r="C54" s="35">
        <f>10063887936.17</f>
        <v>10063887936.17</v>
      </c>
      <c r="D54" s="35">
        <f>84671655.64</f>
        <v>84671655.640000001</v>
      </c>
      <c r="E54" s="35">
        <f>50924091.16</f>
        <v>50924091.159999996</v>
      </c>
      <c r="F54" s="35">
        <f>2017102.29</f>
        <v>2017102.29</v>
      </c>
      <c r="G54" s="35">
        <f>31212357.94</f>
        <v>31212357.940000001</v>
      </c>
      <c r="H54" s="35">
        <f>518104.25</f>
        <v>518104.25</v>
      </c>
      <c r="I54" s="35">
        <f>0</f>
        <v>0</v>
      </c>
      <c r="J54" s="35">
        <f>12684281.77</f>
        <v>12684281.77</v>
      </c>
      <c r="K54" s="35">
        <f>10332054.6</f>
        <v>10332054.6</v>
      </c>
      <c r="L54" s="35">
        <f>2186640520.15</f>
        <v>2186640520.1500001</v>
      </c>
      <c r="M54" s="35">
        <f>7669444192.83</f>
        <v>7669444192.8299999</v>
      </c>
      <c r="N54" s="35">
        <f>100115231.18</f>
        <v>100115231.18000001</v>
      </c>
      <c r="O54" s="35">
        <f>26369736.13</f>
        <v>26369736.129999999</v>
      </c>
      <c r="P54" s="35">
        <f>18211394.76</f>
        <v>18211394.760000002</v>
      </c>
      <c r="Q54" s="35">
        <f>8158341.37</f>
        <v>8158341.3700000001</v>
      </c>
    </row>
    <row r="55" spans="1:17" ht="24.75" customHeight="1" x14ac:dyDescent="0.2">
      <c r="A55" s="22" t="s">
        <v>36</v>
      </c>
      <c r="B55" s="26">
        <f>1315607135.7</f>
        <v>1315607135.7</v>
      </c>
      <c r="C55" s="26">
        <f>1315296387.57</f>
        <v>1315296387.5699999</v>
      </c>
      <c r="D55" s="26">
        <f>4635594.71</f>
        <v>4635594.71</v>
      </c>
      <c r="E55" s="26">
        <f>1420532.58</f>
        <v>1420532.58</v>
      </c>
      <c r="F55" s="26">
        <f>102588.02</f>
        <v>102588.02</v>
      </c>
      <c r="G55" s="26">
        <f>2815301.96</f>
        <v>2815301.96</v>
      </c>
      <c r="H55" s="26">
        <f>297172.15</f>
        <v>297172.15000000002</v>
      </c>
      <c r="I55" s="26">
        <f>0</f>
        <v>0</v>
      </c>
      <c r="J55" s="26">
        <f>31048.37</f>
        <v>31048.37</v>
      </c>
      <c r="K55" s="26">
        <f>952454.93</f>
        <v>952454.93</v>
      </c>
      <c r="L55" s="26">
        <f>222780798.24</f>
        <v>222780798.24000001</v>
      </c>
      <c r="M55" s="26">
        <f>1056873658.15</f>
        <v>1056873658.15</v>
      </c>
      <c r="N55" s="26">
        <f>30022833.17</f>
        <v>30022833.170000002</v>
      </c>
      <c r="O55" s="15">
        <f>310748.13</f>
        <v>310748.13</v>
      </c>
      <c r="P55" s="15">
        <f>236243.86</f>
        <v>236243.86</v>
      </c>
      <c r="Q55" s="15">
        <f>74504.27</f>
        <v>74504.27</v>
      </c>
    </row>
    <row r="56" spans="1:17" ht="24.75" customHeight="1" x14ac:dyDescent="0.2">
      <c r="A56" s="23" t="s">
        <v>37</v>
      </c>
      <c r="B56" s="26">
        <f>8774650536.6</f>
        <v>8774650536.6000004</v>
      </c>
      <c r="C56" s="26">
        <f>8748591548.6</f>
        <v>8748591548.6000004</v>
      </c>
      <c r="D56" s="26">
        <f>80036060.93</f>
        <v>80036060.930000007</v>
      </c>
      <c r="E56" s="26">
        <f>49503558.58</f>
        <v>49503558.579999998</v>
      </c>
      <c r="F56" s="26">
        <f>1914514.27</f>
        <v>1914514.27</v>
      </c>
      <c r="G56" s="26">
        <f>28397055.98</f>
        <v>28397055.98</v>
      </c>
      <c r="H56" s="26">
        <f>220932.1</f>
        <v>220932.1</v>
      </c>
      <c r="I56" s="26">
        <f>0</f>
        <v>0</v>
      </c>
      <c r="J56" s="26">
        <f>12653233.4</f>
        <v>12653233.4</v>
      </c>
      <c r="K56" s="26">
        <f>9379599.67</f>
        <v>9379599.6699999999</v>
      </c>
      <c r="L56" s="26">
        <f>1963859721.91</f>
        <v>1963859721.9100001</v>
      </c>
      <c r="M56" s="26">
        <f>6612570534.68</f>
        <v>6612570534.6800003</v>
      </c>
      <c r="N56" s="26">
        <f>70092398.01</f>
        <v>70092398.010000005</v>
      </c>
      <c r="O56" s="15">
        <f>26058988</f>
        <v>26058988</v>
      </c>
      <c r="P56" s="15">
        <f>17975150.9</f>
        <v>17975150.899999999</v>
      </c>
      <c r="Q56" s="15">
        <f>8083837.1</f>
        <v>8083837.0999999996</v>
      </c>
    </row>
    <row r="57" spans="1:17" ht="24.75" customHeight="1" x14ac:dyDescent="0.2">
      <c r="A57" s="34" t="s">
        <v>45</v>
      </c>
      <c r="B57" s="35">
        <f>21371316509.78</f>
        <v>21371316509.779999</v>
      </c>
      <c r="C57" s="35">
        <f>21369408072.18</f>
        <v>21369408072.18</v>
      </c>
      <c r="D57" s="35">
        <f>854373369.9</f>
        <v>854373369.89999998</v>
      </c>
      <c r="E57" s="35">
        <f>400963718.16</f>
        <v>400963718.16000003</v>
      </c>
      <c r="F57" s="35">
        <f>69316123.14</f>
        <v>69316123.140000001</v>
      </c>
      <c r="G57" s="35">
        <f>373521332.96</f>
        <v>373521332.95999998</v>
      </c>
      <c r="H57" s="35">
        <f>10572195.64</f>
        <v>10572195.640000001</v>
      </c>
      <c r="I57" s="35">
        <f>361306</f>
        <v>361306</v>
      </c>
      <c r="J57" s="35">
        <f>18703410.48</f>
        <v>18703410.48</v>
      </c>
      <c r="K57" s="35">
        <f>67106861.31</f>
        <v>67106861.310000002</v>
      </c>
      <c r="L57" s="35">
        <f>11289591459.64</f>
        <v>11289591459.639999</v>
      </c>
      <c r="M57" s="35">
        <f>8954773887.59</f>
        <v>8954773887.5900002</v>
      </c>
      <c r="N57" s="35">
        <f>184497777.26</f>
        <v>184497777.25999999</v>
      </c>
      <c r="O57" s="35">
        <f>1908437.6</f>
        <v>1908437.6</v>
      </c>
      <c r="P57" s="35">
        <f>1540239.67</f>
        <v>1540239.67</v>
      </c>
      <c r="Q57" s="35">
        <f>368197.93</f>
        <v>368197.93</v>
      </c>
    </row>
    <row r="58" spans="1:17" ht="30" customHeight="1" x14ac:dyDescent="0.2">
      <c r="A58" s="22" t="s">
        <v>38</v>
      </c>
      <c r="B58" s="26">
        <f>1126023055.73</f>
        <v>1126023055.73</v>
      </c>
      <c r="C58" s="26">
        <f>1125839846.77</f>
        <v>1125839846.77</v>
      </c>
      <c r="D58" s="26">
        <f>55169418.67</f>
        <v>55169418.670000002</v>
      </c>
      <c r="E58" s="26">
        <f>5456716.58</f>
        <v>5456716.5800000001</v>
      </c>
      <c r="F58" s="26">
        <f>1428952.51</f>
        <v>1428952.51</v>
      </c>
      <c r="G58" s="26">
        <f>47304688.31</f>
        <v>47304688.310000002</v>
      </c>
      <c r="H58" s="26">
        <f>979061.27</f>
        <v>979061.27</v>
      </c>
      <c r="I58" s="26">
        <f>0</f>
        <v>0</v>
      </c>
      <c r="J58" s="26">
        <f>698468.78</f>
        <v>698468.78</v>
      </c>
      <c r="K58" s="26">
        <f>2610455.06</f>
        <v>2610455.06</v>
      </c>
      <c r="L58" s="26">
        <f>411950024.43</f>
        <v>411950024.43000001</v>
      </c>
      <c r="M58" s="26">
        <f>642928684.74</f>
        <v>642928684.74000001</v>
      </c>
      <c r="N58" s="26">
        <f>12482795.09</f>
        <v>12482795.09</v>
      </c>
      <c r="O58" s="15">
        <f>183208.96</f>
        <v>183208.95999999999</v>
      </c>
      <c r="P58" s="15">
        <f>117910.95</f>
        <v>117910.95</v>
      </c>
      <c r="Q58" s="15">
        <f>65298.01</f>
        <v>65298.01</v>
      </c>
    </row>
    <row r="59" spans="1:17" ht="36" x14ac:dyDescent="0.2">
      <c r="A59" s="22" t="s">
        <v>39</v>
      </c>
      <c r="B59" s="26">
        <f>13659748508.7</f>
        <v>13659748508.700001</v>
      </c>
      <c r="C59" s="26">
        <f>13658157846.59</f>
        <v>13658157846.59</v>
      </c>
      <c r="D59" s="26">
        <f>404686031.06</f>
        <v>404686031.06</v>
      </c>
      <c r="E59" s="26">
        <f>173857072.3</f>
        <v>173857072.30000001</v>
      </c>
      <c r="F59" s="26">
        <f>49841939.61</f>
        <v>49841939.609999999</v>
      </c>
      <c r="G59" s="26">
        <f>173490636.35</f>
        <v>173490636.34999999</v>
      </c>
      <c r="H59" s="26">
        <f>7496382.8</f>
        <v>7496382.7999999998</v>
      </c>
      <c r="I59" s="26">
        <f>361306</f>
        <v>361306</v>
      </c>
      <c r="J59" s="26">
        <f>15829709.77</f>
        <v>15829709.77</v>
      </c>
      <c r="K59" s="26">
        <f>47745014.27</f>
        <v>47745014.270000003</v>
      </c>
      <c r="L59" s="26">
        <f>8541031195.99</f>
        <v>8541031195.9899998</v>
      </c>
      <c r="M59" s="26">
        <f>4578228131.13</f>
        <v>4578228131.1300001</v>
      </c>
      <c r="N59" s="26">
        <f>70276458.37</f>
        <v>70276458.370000005</v>
      </c>
      <c r="O59" s="15">
        <f>1590662.11</f>
        <v>1590662.11</v>
      </c>
      <c r="P59" s="15">
        <f>1321825.12</f>
        <v>1321825.1200000001</v>
      </c>
      <c r="Q59" s="15">
        <f>268836.99</f>
        <v>268836.99</v>
      </c>
    </row>
    <row r="60" spans="1:17" ht="30.75" customHeight="1" x14ac:dyDescent="0.2">
      <c r="A60" s="22" t="s">
        <v>40</v>
      </c>
      <c r="B60" s="26">
        <f>6585544945.35</f>
        <v>6585544945.3500004</v>
      </c>
      <c r="C60" s="26">
        <f>6585410378.82</f>
        <v>6585410378.8199997</v>
      </c>
      <c r="D60" s="26">
        <f>394517920.17</f>
        <v>394517920.17000002</v>
      </c>
      <c r="E60" s="26">
        <f>221649929.28</f>
        <v>221649929.28</v>
      </c>
      <c r="F60" s="26">
        <f>18045231.02</f>
        <v>18045231.02</v>
      </c>
      <c r="G60" s="26">
        <f>152726008.3</f>
        <v>152726008.30000001</v>
      </c>
      <c r="H60" s="26">
        <f>2096751.57</f>
        <v>2096751.57</v>
      </c>
      <c r="I60" s="26">
        <f>0</f>
        <v>0</v>
      </c>
      <c r="J60" s="26">
        <f>2175231.93</f>
        <v>2175231.9300000002</v>
      </c>
      <c r="K60" s="26">
        <f>16751391.98</f>
        <v>16751391.98</v>
      </c>
      <c r="L60" s="26">
        <f>2336610239.22</f>
        <v>2336610239.2199998</v>
      </c>
      <c r="M60" s="26">
        <f>3733617071.72</f>
        <v>3733617071.7199998</v>
      </c>
      <c r="N60" s="26">
        <f>101738523.8</f>
        <v>101738523.8</v>
      </c>
      <c r="O60" s="15">
        <f>134566.53</f>
        <v>134566.53</v>
      </c>
      <c r="P60" s="15">
        <f>100503.6</f>
        <v>100503.6</v>
      </c>
      <c r="Q60" s="15">
        <f>34062.93</f>
        <v>34062.93</v>
      </c>
    </row>
    <row r="77" spans="1:13" ht="75" customHeight="1" x14ac:dyDescent="0.2">
      <c r="A77" s="40" t="str">
        <f>CONCATENATE("Informacja z wykonania budżetów gmin za ",$C$104," ",$B$105," roku   ",$B$107,"")</f>
        <v xml:space="preserve">Informacja z wykonania budżetów gmin za I Kwartał 2023 roku   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1:13" ht="13.5" customHeight="1" x14ac:dyDescent="0.2">
      <c r="B78" s="80" t="s">
        <v>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</row>
    <row r="80" spans="1:13" ht="13.5" customHeight="1" x14ac:dyDescent="0.2">
      <c r="B80" s="46" t="s">
        <v>0</v>
      </c>
      <c r="C80" s="47"/>
      <c r="D80" s="47"/>
      <c r="E80" s="48"/>
      <c r="F80" s="58" t="s">
        <v>72</v>
      </c>
      <c r="G80" s="62" t="s">
        <v>78</v>
      </c>
      <c r="H80" s="70"/>
      <c r="I80" s="70"/>
      <c r="J80" s="70"/>
      <c r="K80" s="70"/>
      <c r="L80" s="71"/>
    </row>
    <row r="81" spans="1:13" ht="13.5" customHeight="1" x14ac:dyDescent="0.2">
      <c r="B81" s="49"/>
      <c r="C81" s="50"/>
      <c r="D81" s="50"/>
      <c r="E81" s="51"/>
      <c r="F81" s="59"/>
      <c r="G81" s="61" t="s">
        <v>73</v>
      </c>
      <c r="H81" s="45" t="s">
        <v>70</v>
      </c>
      <c r="I81" s="45" t="s">
        <v>71</v>
      </c>
      <c r="J81" s="45" t="s">
        <v>74</v>
      </c>
      <c r="K81" s="45" t="s">
        <v>75</v>
      </c>
      <c r="L81" s="65" t="s">
        <v>76</v>
      </c>
    </row>
    <row r="82" spans="1:13" ht="13.5" customHeight="1" x14ac:dyDescent="0.2">
      <c r="B82" s="49"/>
      <c r="C82" s="50"/>
      <c r="D82" s="50"/>
      <c r="E82" s="51"/>
      <c r="F82" s="59"/>
      <c r="G82" s="61"/>
      <c r="H82" s="45"/>
      <c r="I82" s="45"/>
      <c r="J82" s="45"/>
      <c r="K82" s="45"/>
      <c r="L82" s="65"/>
    </row>
    <row r="83" spans="1:13" ht="11.25" customHeight="1" x14ac:dyDescent="0.2">
      <c r="B83" s="49"/>
      <c r="C83" s="50"/>
      <c r="D83" s="50"/>
      <c r="E83" s="51"/>
      <c r="F83" s="59"/>
      <c r="G83" s="61"/>
      <c r="H83" s="45"/>
      <c r="I83" s="45"/>
      <c r="J83" s="45"/>
      <c r="K83" s="45"/>
      <c r="L83" s="65"/>
    </row>
    <row r="84" spans="1:13" ht="11.25" customHeight="1" x14ac:dyDescent="0.2">
      <c r="B84" s="52"/>
      <c r="C84" s="53"/>
      <c r="D84" s="53"/>
      <c r="E84" s="54"/>
      <c r="F84" s="60"/>
      <c r="G84" s="61"/>
      <c r="H84" s="45"/>
      <c r="I84" s="45"/>
      <c r="J84" s="45"/>
      <c r="K84" s="45"/>
      <c r="L84" s="65"/>
    </row>
    <row r="85" spans="1:13" ht="11.25" customHeight="1" x14ac:dyDescent="0.2">
      <c r="B85" s="45">
        <v>1</v>
      </c>
      <c r="C85" s="45"/>
      <c r="D85" s="45"/>
      <c r="E85" s="45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5"/>
      <c r="C86" s="45"/>
      <c r="D86" s="45"/>
      <c r="E86" s="45"/>
      <c r="F86" s="62" t="s">
        <v>80</v>
      </c>
      <c r="G86" s="63"/>
      <c r="H86" s="63"/>
      <c r="I86" s="63"/>
      <c r="J86" s="63"/>
      <c r="K86" s="63"/>
      <c r="L86" s="64"/>
    </row>
    <row r="87" spans="1:13" ht="33.75" customHeight="1" x14ac:dyDescent="0.2">
      <c r="B87" s="55" t="s">
        <v>57</v>
      </c>
      <c r="C87" s="56"/>
      <c r="D87" s="56"/>
      <c r="E87" s="57"/>
      <c r="F87" s="33">
        <f>1062317128.24</f>
        <v>1062317128.24</v>
      </c>
      <c r="G87" s="33">
        <f>365657588.35</f>
        <v>365657588.35000002</v>
      </c>
      <c r="H87" s="33">
        <f>17839294.72</f>
        <v>17839294.719999999</v>
      </c>
      <c r="I87" s="33">
        <f>136031880.93</f>
        <v>136031880.93000001</v>
      </c>
      <c r="J87" s="33">
        <f>209311740.31</f>
        <v>209311740.31</v>
      </c>
      <c r="K87" s="33">
        <f>2474672.39</f>
        <v>2474672.39</v>
      </c>
      <c r="L87" s="33">
        <f>696659539.89</f>
        <v>696659539.88999999</v>
      </c>
    </row>
    <row r="88" spans="1:13" ht="33.75" customHeight="1" x14ac:dyDescent="0.2">
      <c r="B88" s="55" t="s">
        <v>58</v>
      </c>
      <c r="C88" s="56"/>
      <c r="D88" s="56"/>
      <c r="E88" s="57"/>
      <c r="F88" s="33">
        <f>6106894.41</f>
        <v>6106894.4100000001</v>
      </c>
      <c r="G88" s="33">
        <f>821594</f>
        <v>821594</v>
      </c>
      <c r="H88" s="33">
        <f>0</f>
        <v>0</v>
      </c>
      <c r="I88" s="33">
        <f>0</f>
        <v>0</v>
      </c>
      <c r="J88" s="33">
        <f>821594</f>
        <v>821594</v>
      </c>
      <c r="K88" s="33">
        <f>0</f>
        <v>0</v>
      </c>
      <c r="L88" s="33">
        <f>5285300.41</f>
        <v>5285300.41</v>
      </c>
    </row>
    <row r="89" spans="1:13" ht="33.75" customHeight="1" x14ac:dyDescent="0.2">
      <c r="B89" s="55" t="s">
        <v>59</v>
      </c>
      <c r="C89" s="56"/>
      <c r="D89" s="56"/>
      <c r="E89" s="57"/>
      <c r="F89" s="33">
        <f>39335391.92</f>
        <v>39335391.920000002</v>
      </c>
      <c r="G89" s="33">
        <f>1874030.37</f>
        <v>1874030.37</v>
      </c>
      <c r="H89" s="33">
        <f>0</f>
        <v>0</v>
      </c>
      <c r="I89" s="33">
        <f>0</f>
        <v>0</v>
      </c>
      <c r="J89" s="33">
        <f>1764444.33</f>
        <v>1764444.33</v>
      </c>
      <c r="K89" s="33">
        <f>109586.04</f>
        <v>109586.04</v>
      </c>
      <c r="L89" s="33">
        <f>37461361.55</f>
        <v>37461361.549999997</v>
      </c>
    </row>
    <row r="90" spans="1:13" ht="22.5" customHeight="1" x14ac:dyDescent="0.2">
      <c r="B90" s="55" t="s">
        <v>60</v>
      </c>
      <c r="C90" s="56"/>
      <c r="D90" s="56"/>
      <c r="E90" s="57"/>
      <c r="F90" s="33">
        <f>11992956.16</f>
        <v>11992956.16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11992956.16</f>
        <v>11992956.16</v>
      </c>
    </row>
    <row r="91" spans="1:13" ht="33.75" customHeight="1" x14ac:dyDescent="0.2">
      <c r="B91" s="55" t="s">
        <v>61</v>
      </c>
      <c r="C91" s="56"/>
      <c r="D91" s="56"/>
      <c r="E91" s="57"/>
      <c r="F91" s="33">
        <f>23645.93</f>
        <v>23645.93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23645.93</f>
        <v>23645.93</v>
      </c>
    </row>
    <row r="92" spans="1:13" ht="33.75" customHeight="1" x14ac:dyDescent="0.2">
      <c r="B92" s="55" t="s">
        <v>62</v>
      </c>
      <c r="C92" s="56"/>
      <c r="D92" s="56"/>
      <c r="E92" s="57"/>
      <c r="F92" s="33">
        <f>305125.5</f>
        <v>305125.5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305125.5</f>
        <v>305125.5</v>
      </c>
    </row>
    <row r="93" spans="1:13" ht="22.5" customHeight="1" x14ac:dyDescent="0.2">
      <c r="B93" s="55" t="s">
        <v>63</v>
      </c>
      <c r="C93" s="56"/>
      <c r="D93" s="56"/>
      <c r="E93" s="57"/>
      <c r="F93" s="33">
        <f>45000</f>
        <v>45000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45000</f>
        <v>45000</v>
      </c>
    </row>
    <row r="96" spans="1:13" ht="75" customHeight="1" x14ac:dyDescent="0.2">
      <c r="A96" s="40" t="str">
        <f>CONCATENATE("Informacja z wykonania budżetów gmin za ",$C$104," ",$B$105," roku   ",$B$107,"")</f>
        <v xml:space="preserve">Informacja z wykonania budżetów gmin za I Kwartał 2023 roku   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70"/>
      <c r="E98" s="70"/>
      <c r="F98" s="71"/>
      <c r="G98" s="62" t="s">
        <v>3</v>
      </c>
      <c r="H98" s="71"/>
      <c r="I98" s="62" t="s">
        <v>4</v>
      </c>
      <c r="J98" s="71"/>
      <c r="K98" s="5"/>
    </row>
    <row r="99" spans="1:11" ht="13.5" customHeight="1" x14ac:dyDescent="0.2">
      <c r="B99" s="6"/>
      <c r="C99" s="72" t="s">
        <v>5</v>
      </c>
      <c r="D99" s="73"/>
      <c r="E99" s="73"/>
      <c r="F99" s="74"/>
      <c r="G99" s="66">
        <f>1884</f>
        <v>1884</v>
      </c>
      <c r="H99" s="67"/>
      <c r="I99" s="68">
        <f>4856949513.38</f>
        <v>4856949513.3800001</v>
      </c>
      <c r="J99" s="69"/>
      <c r="K99" s="7"/>
    </row>
    <row r="100" spans="1:11" ht="13.5" customHeight="1" x14ac:dyDescent="0.2">
      <c r="B100" s="6"/>
      <c r="C100" s="55" t="s">
        <v>6</v>
      </c>
      <c r="D100" s="56"/>
      <c r="E100" s="56"/>
      <c r="F100" s="57"/>
      <c r="G100" s="75">
        <f>527</f>
        <v>527</v>
      </c>
      <c r="H100" s="76"/>
      <c r="I100" s="77">
        <f>-659949931.710001</f>
        <v>-659949931.71000099</v>
      </c>
      <c r="J100" s="78"/>
      <c r="K100" s="7"/>
    </row>
    <row r="101" spans="1:11" ht="13.5" customHeight="1" x14ac:dyDescent="0.2">
      <c r="B101" s="6"/>
      <c r="C101" s="72" t="s">
        <v>7</v>
      </c>
      <c r="D101" s="73"/>
      <c r="E101" s="73"/>
      <c r="F101" s="74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1</f>
        <v>1</v>
      </c>
      <c r="C104" s="8" t="str">
        <f>IF(B104=1,"I Kwartał",IF(B104=2,"II Kwartały",IF(B104=3,"III Kwartały",IF(B104=4,"IV Kwartały","-"))))</f>
        <v>I Kwartał</v>
      </c>
    </row>
    <row r="105" spans="1:11" ht="13.5" customHeight="1" x14ac:dyDescent="0.2">
      <c r="A105" s="8" t="s">
        <v>9</v>
      </c>
      <c r="B105" s="8">
        <f>2023</f>
        <v>2023</v>
      </c>
      <c r="C105" s="9"/>
    </row>
    <row r="106" spans="1:11" ht="13.5" customHeight="1" x14ac:dyDescent="0.2">
      <c r="A106" s="8" t="s">
        <v>10</v>
      </c>
      <c r="B106" s="10" t="str">
        <f>"May 26 2023 12:00AM"</f>
        <v>May 26 2023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B38:B41"/>
    <mergeCell ref="N39:N41"/>
    <mergeCell ref="O39:O41"/>
    <mergeCell ref="H81:H84"/>
    <mergeCell ref="I81:I84"/>
    <mergeCell ref="J81:J84"/>
    <mergeCell ref="B78:M78"/>
    <mergeCell ref="D39:D41"/>
    <mergeCell ref="M39:M41"/>
    <mergeCell ref="B43:Q43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A1:M1"/>
    <mergeCell ref="C5:M5"/>
    <mergeCell ref="A3:M3"/>
    <mergeCell ref="K7:K10"/>
    <mergeCell ref="C7:C10"/>
    <mergeCell ref="H7:H10"/>
    <mergeCell ref="I7:I10"/>
    <mergeCell ref="J7:J10"/>
    <mergeCell ref="L7:L10"/>
    <mergeCell ref="M7:M10"/>
    <mergeCell ref="B6:B10"/>
    <mergeCell ref="A6:A10"/>
    <mergeCell ref="C6:N6"/>
    <mergeCell ref="D7:D10"/>
    <mergeCell ref="E7:E10"/>
    <mergeCell ref="G7:G10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80:L80"/>
    <mergeCell ref="O6:Q6"/>
    <mergeCell ref="O7:O10"/>
    <mergeCell ref="A77:M77"/>
    <mergeCell ref="L39:L41"/>
    <mergeCell ref="P39:P41"/>
    <mergeCell ref="Q39:Q41"/>
    <mergeCell ref="Q7:Q10"/>
    <mergeCell ref="C38:N38"/>
    <mergeCell ref="N7:N10"/>
    <mergeCell ref="P7:P10"/>
    <mergeCell ref="A34:M34"/>
    <mergeCell ref="O38:Q38"/>
    <mergeCell ref="A36:M36"/>
    <mergeCell ref="F7:F10"/>
    <mergeCell ref="B12:Q12"/>
    <mergeCell ref="A38:A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2023-06-01T13:57:08Z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2023-06-01T15:42:45.0545428+02:00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GRN-f5e74314-00a8-47a9-b8c6-83c78f618687</vt:lpwstr>
  </property>
  <property fmtid="{D5CDD505-2E9C-101B-9397-08002B2CF9AE}" pid="7" name="MFHash">
    <vt:lpwstr>GTFkJQgyt6PBpQoeO5ggYSbIRwO70mu8CeHuETLuB9k=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