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```ST7\Besti@\2022\I kw 2022\Zbiorówki\Zatwierdzone\WWW\Nowy format\www bez definicji\"/>
    </mc:Choice>
  </mc:AlternateContent>
  <bookViews>
    <workbookView xWindow="240" yWindow="120" windowWidth="14220" windowHeight="8835"/>
  </bookViews>
  <sheets>
    <sheet name="zob_nal" sheetId="7" r:id="rId1"/>
  </sheets>
  <calcPr calcId="152511"/>
</workbook>
</file>

<file path=xl/calcChain.xml><?xml version="1.0" encoding="utf-8"?>
<calcChain xmlns="http://schemas.openxmlformats.org/spreadsheetml/2006/main">
  <c r="B107" i="7" l="1"/>
  <c r="B106" i="7"/>
  <c r="B105" i="7"/>
  <c r="B104" i="7"/>
  <c r="I101" i="7"/>
  <c r="G101" i="7"/>
  <c r="I100" i="7"/>
  <c r="G100" i="7"/>
  <c r="I99" i="7"/>
  <c r="G99" i="7"/>
  <c r="L93" i="7"/>
  <c r="K93" i="7"/>
  <c r="J93" i="7"/>
  <c r="I93" i="7"/>
  <c r="H93" i="7"/>
  <c r="G93" i="7"/>
  <c r="F93" i="7"/>
  <c r="L92" i="7"/>
  <c r="K92" i="7"/>
  <c r="J92" i="7"/>
  <c r="I92" i="7"/>
  <c r="H92" i="7"/>
  <c r="G92" i="7"/>
  <c r="F92" i="7"/>
  <c r="L91" i="7"/>
  <c r="K91" i="7"/>
  <c r="J91" i="7"/>
  <c r="I91" i="7"/>
  <c r="H91" i="7"/>
  <c r="G91" i="7"/>
  <c r="F91" i="7"/>
  <c r="L90" i="7"/>
  <c r="K90" i="7"/>
  <c r="J90" i="7"/>
  <c r="I90" i="7"/>
  <c r="H90" i="7"/>
  <c r="G90" i="7"/>
  <c r="F90" i="7"/>
  <c r="L89" i="7"/>
  <c r="K89" i="7"/>
  <c r="J89" i="7"/>
  <c r="I89" i="7"/>
  <c r="H89" i="7"/>
  <c r="G89" i="7"/>
  <c r="F89" i="7"/>
  <c r="L88" i="7"/>
  <c r="K88" i="7"/>
  <c r="J88" i="7"/>
  <c r="I88" i="7"/>
  <c r="H88" i="7"/>
  <c r="G88" i="7"/>
  <c r="F88" i="7"/>
  <c r="L87" i="7"/>
  <c r="K87" i="7"/>
  <c r="J87" i="7"/>
  <c r="I87" i="7"/>
  <c r="H87" i="7"/>
  <c r="G87" i="7"/>
  <c r="F87" i="7"/>
  <c r="Q60" i="7"/>
  <c r="P60" i="7"/>
  <c r="O60" i="7"/>
  <c r="N60" i="7"/>
  <c r="M60" i="7"/>
  <c r="L60" i="7"/>
  <c r="K60" i="7"/>
  <c r="J60" i="7"/>
  <c r="I60" i="7"/>
  <c r="H60" i="7"/>
  <c r="G60" i="7"/>
  <c r="F60" i="7"/>
  <c r="E60" i="7"/>
  <c r="D60" i="7"/>
  <c r="C60" i="7"/>
  <c r="B60" i="7"/>
  <c r="Q59" i="7"/>
  <c r="P59" i="7"/>
  <c r="O59" i="7"/>
  <c r="N59" i="7"/>
  <c r="M59" i="7"/>
  <c r="L59" i="7"/>
  <c r="K59" i="7"/>
  <c r="J59" i="7"/>
  <c r="I59" i="7"/>
  <c r="H59" i="7"/>
  <c r="G59" i="7"/>
  <c r="F59" i="7"/>
  <c r="E59" i="7"/>
  <c r="D59" i="7"/>
  <c r="C59" i="7"/>
  <c r="B59" i="7"/>
  <c r="Q58" i="7"/>
  <c r="P58" i="7"/>
  <c r="O58" i="7"/>
  <c r="N58" i="7"/>
  <c r="M58" i="7"/>
  <c r="L58" i="7"/>
  <c r="K58" i="7"/>
  <c r="J58" i="7"/>
  <c r="I58" i="7"/>
  <c r="H58" i="7"/>
  <c r="G58" i="7"/>
  <c r="F58" i="7"/>
  <c r="E58" i="7"/>
  <c r="D58" i="7"/>
  <c r="C58" i="7"/>
  <c r="B58" i="7"/>
  <c r="Q57" i="7"/>
  <c r="P57" i="7"/>
  <c r="O57" i="7"/>
  <c r="N57" i="7"/>
  <c r="M57" i="7"/>
  <c r="L57" i="7"/>
  <c r="K57" i="7"/>
  <c r="J57" i="7"/>
  <c r="I57" i="7"/>
  <c r="H57" i="7"/>
  <c r="G57" i="7"/>
  <c r="F57" i="7"/>
  <c r="E57" i="7"/>
  <c r="D57" i="7"/>
  <c r="C57" i="7"/>
  <c r="B57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104" i="7"/>
  <c r="A77" i="7" s="1"/>
  <c r="A34" i="7" l="1"/>
  <c r="A96" i="7"/>
  <c r="A1" i="7"/>
</calcChain>
</file>

<file path=xl/sharedStrings.xml><?xml version="1.0" encoding="utf-8"?>
<sst xmlns="http://schemas.openxmlformats.org/spreadsheetml/2006/main" count="97" uniqueCount="81">
  <si>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</si>
  <si>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</si>
  <si>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</si>
  <si>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</si>
  <si>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</si>
  <si>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</si>
  <si>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</si>
  <si>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</si>
  <si>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</si>
  <si>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</si>
  <si>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</si>
  <si>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</si>
  <si>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</si>
  <si>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</si>
  <si>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</si>
  <si>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</si>
  <si>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</si>
  <si>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</si>
  <si>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</si>
  <si>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</si>
  <si>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</si>
  <si>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</si>
  <si>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</si>
  <si>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</si>
  <si>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</si>
  <si>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</si>
  <si>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</si>
  <si>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</si>
  <si>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</si>
  <si>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</si>
  <si>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</si>
  <si>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</si>
  <si>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</si>
  <si>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</si>
  <si>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</si>
  <si>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</si>
  <si>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</si>
  <si>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</si>
  <si>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</si>
  <si>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N5.2 z tytułu podatków i składek na 
ubezpieczenia społ.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</si>
  <si>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</si>
  <si>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</si>
  <si>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</si>
  <si>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</si>
  <si>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</si>
  <si>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</si>
  <si>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  ZOBOWIĄZANIA WG TYTUŁÓW 
    DŁUŻNYCH (E1+E2+E3+E4)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</si>
  <si>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</si>
  <si>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</si>
  <si>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</si>
  <si>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</si>
  <si>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</si>
  <si>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</si>
  <si>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</si>
  <si>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  wymagalne zobowiązania 
     (E4.1+E4.2)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</si>
  <si>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</si>
  <si>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</si>
  <si>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</si>
  <si>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</si>
  <si>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</si>
  <si>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</si>
  <si>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</si>
  <si>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</si>
  <si>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</si>
  <si>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</si>
  <si>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</si>
  <si>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</si>
  <si>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</si>
  <si>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</si>
  <si>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</si>
  <si>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</si>
  <si>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</si>
  <si>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</si>
  <si>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</si>
  <si>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</si>
  <si>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</si>
  <si>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</si>
  <si>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</si>
  <si>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</si>
  <si>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tytul</t>
  </si>
  <si>
    <t>w złotych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</si>
</sst>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\ h:mm;@"/>
  </numFmts>
  <fonts count="35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6"/>
      <name val="Arial"/>
      <family val="2"/>
      <charset val="238"/>
    </font>
    <font>
      <sz val="9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9"/>
      <name val="Arial"/>
      <family val="2"/>
      <charset val="238"/>
    </font>
    <font>
      <b/>
      <sz val="9"/>
      <name val="Arial CE"/>
      <charset val="238"/>
    </font>
    <font>
      <sz val="9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101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7" fillId="0" borderId="0" xfId="37" applyFont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4" fillId="19" borderId="10" xfId="37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4" fontId="7" fillId="20" borderId="10" xfId="37" applyNumberFormat="1" applyFont="1" applyFill="1" applyBorder="1" applyAlignment="1">
      <alignment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8" fillId="0" borderId="17" xfId="0" applyFont="1" applyFill="1" applyBorder="1" applyAlignment="1">
      <alignment horizontal="left" vertical="center" wrapText="1" indent="1"/>
    </xf>
    <xf numFmtId="0" fontId="28" fillId="0" borderId="18" xfId="0" applyFont="1" applyFill="1" applyBorder="1" applyAlignment="1">
      <alignment horizontal="left" vertical="center" wrapText="1" indent="1"/>
    </xf>
    <xf numFmtId="0" fontId="28" fillId="0" borderId="17" xfId="0" applyFont="1" applyFill="1" applyBorder="1" applyAlignment="1">
      <alignment horizontal="left" vertical="center" indent="1"/>
    </xf>
    <xf numFmtId="0" fontId="33" fillId="0" borderId="17" xfId="0" applyFont="1" applyFill="1" applyBorder="1" applyAlignment="1">
      <alignment vertical="center" wrapText="1"/>
    </xf>
    <xf numFmtId="0" fontId="33" fillId="0" borderId="17" xfId="0" applyFont="1" applyFill="1" applyBorder="1" applyAlignment="1">
      <alignment vertical="center"/>
    </xf>
    <xf numFmtId="0" fontId="32" fillId="0" borderId="17" xfId="0" applyFont="1" applyFill="1" applyBorder="1" applyAlignment="1">
      <alignment vertical="center"/>
    </xf>
    <xf numFmtId="0" fontId="28" fillId="0" borderId="10" xfId="0" applyFont="1" applyFill="1" applyBorder="1" applyAlignment="1">
      <alignment horizontal="left" vertical="center" indent="1"/>
    </xf>
    <xf numFmtId="4" fontId="7" fillId="0" borderId="10" xfId="37" applyNumberFormat="1" applyFont="1" applyFill="1" applyBorder="1" applyAlignment="1">
      <alignment vertical="center" wrapText="1"/>
    </xf>
    <xf numFmtId="0" fontId="31" fillId="21" borderId="10" xfId="37" applyFont="1" applyFill="1" applyBorder="1" applyAlignment="1">
      <alignment horizontal="left" vertical="center" wrapText="1"/>
    </xf>
    <xf numFmtId="4" fontId="7" fillId="21" borderId="10" xfId="37" applyNumberFormat="1" applyFont="1" applyFill="1" applyBorder="1" applyAlignment="1">
      <alignment horizontal="right" vertical="center" wrapText="1"/>
    </xf>
    <xf numFmtId="0" fontId="31" fillId="21" borderId="17" xfId="0" applyFont="1" applyFill="1" applyBorder="1" applyAlignment="1">
      <alignment wrapText="1"/>
    </xf>
    <xf numFmtId="0" fontId="31" fillId="21" borderId="18" xfId="0" applyFont="1" applyFill="1" applyBorder="1" applyAlignment="1">
      <alignment wrapText="1"/>
    </xf>
    <xf numFmtId="0" fontId="31" fillId="21" borderId="18" xfId="0" applyFont="1" applyFill="1" applyBorder="1" applyAlignment="1">
      <alignment vertical="center"/>
    </xf>
    <xf numFmtId="0" fontId="31" fillId="21" borderId="17" xfId="0" applyFont="1" applyFill="1" applyBorder="1" applyAlignment="1">
      <alignment horizontal="left" wrapText="1"/>
    </xf>
    <xf numFmtId="4" fontId="7" fillId="0" borderId="10" xfId="37" applyNumberFormat="1" applyFont="1" applyFill="1" applyBorder="1" applyAlignment="1">
      <alignment horizontal="right" vertical="center" wrapText="1"/>
    </xf>
    <xf numFmtId="0" fontId="32" fillId="21" borderId="17" xfId="0" applyFont="1" applyFill="1" applyBorder="1" applyAlignment="1">
      <alignment vertical="center" wrapText="1"/>
    </xf>
    <xf numFmtId="4" fontId="7" fillId="21" borderId="10" xfId="37" applyNumberFormat="1" applyFont="1" applyFill="1" applyBorder="1" applyAlignment="1">
      <alignment vertical="center" wrapText="1"/>
    </xf>
    <xf numFmtId="4" fontId="2" fillId="19" borderId="15" xfId="37" applyNumberFormat="1" applyFont="1" applyFill="1" applyBorder="1" applyAlignment="1">
      <alignment horizontal="center" vertical="center" wrapText="1"/>
    </xf>
    <xf numFmtId="4" fontId="2" fillId="19" borderId="14" xfId="37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9" fillId="19" borderId="20" xfId="37" applyFont="1" applyFill="1" applyBorder="1" applyAlignment="1">
      <alignment horizontal="center" vertical="center" wrapText="1"/>
    </xf>
    <xf numFmtId="0" fontId="29" fillId="19" borderId="21" xfId="37" applyFont="1" applyFill="1" applyBorder="1" applyAlignment="1">
      <alignment horizontal="center" vertical="center" wrapText="1"/>
    </xf>
    <xf numFmtId="0" fontId="29" fillId="19" borderId="12" xfId="37" applyFont="1" applyFill="1" applyBorder="1" applyAlignment="1">
      <alignment horizontal="center" vertical="center" wrapText="1"/>
    </xf>
    <xf numFmtId="0" fontId="2" fillId="19" borderId="21" xfId="37" applyFont="1" applyFill="1" applyBorder="1" applyAlignment="1">
      <alignment horizontal="center" vertical="center" wrapText="1"/>
    </xf>
    <xf numFmtId="0" fontId="2" fillId="19" borderId="12" xfId="37" applyFont="1" applyFill="1" applyBorder="1" applyAlignment="1">
      <alignment horizontal="center" vertical="center" wrapText="1"/>
    </xf>
    <xf numFmtId="0" fontId="2" fillId="19" borderId="10" xfId="37" applyFont="1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34" fillId="0" borderId="0" xfId="37" applyFont="1" applyAlignment="1">
      <alignment horizontal="center" vertical="center" wrapText="1"/>
    </xf>
    <xf numFmtId="0" fontId="29" fillId="19" borderId="15" xfId="37" applyFont="1" applyFill="1" applyBorder="1" applyAlignment="1">
      <alignment horizontal="center" vertical="center" wrapText="1"/>
    </xf>
    <xf numFmtId="0" fontId="29" fillId="19" borderId="14" xfId="37" applyFont="1" applyFill="1" applyBorder="1" applyAlignment="1">
      <alignment horizontal="center" vertical="center" wrapText="1"/>
    </xf>
    <xf numFmtId="0" fontId="29" fillId="19" borderId="11" xfId="37" applyFont="1" applyFill="1" applyBorder="1" applyAlignment="1">
      <alignment horizontal="center" vertical="center" wrapText="1"/>
    </xf>
    <xf numFmtId="0" fontId="6" fillId="0" borderId="0" xfId="37" applyFont="1" applyAlignment="1">
      <alignment horizontal="left" vertical="center" wrapText="1"/>
    </xf>
    <xf numFmtId="0" fontId="2" fillId="19" borderId="20" xfId="37" applyFont="1" applyFill="1" applyBorder="1" applyAlignment="1">
      <alignment horizontal="center" vertical="center" wrapText="1"/>
    </xf>
    <xf numFmtId="0" fontId="8" fillId="19" borderId="20" xfId="37" applyFont="1" applyFill="1" applyBorder="1" applyAlignment="1">
      <alignment horizontal="center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2" xfId="37" applyFont="1" applyFill="1" applyBorder="1" applyAlignment="1">
      <alignment horizontal="center" vertical="center" wrapText="1"/>
    </xf>
    <xf numFmtId="0" fontId="2" fillId="19" borderId="22" xfId="37" applyFont="1" applyFill="1" applyBorder="1" applyAlignment="1">
      <alignment horizontal="center" vertical="center" wrapText="1"/>
    </xf>
    <xf numFmtId="0" fontId="2" fillId="19" borderId="13" xfId="37" applyFont="1" applyFill="1" applyBorder="1" applyAlignment="1">
      <alignment horizontal="center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3" fontId="7" fillId="0" borderId="15" xfId="37" applyNumberFormat="1" applyFont="1" applyFill="1" applyBorder="1" applyAlignment="1">
      <alignment horizontal="right" vertical="center" wrapText="1"/>
    </xf>
    <xf numFmtId="3" fontId="7" fillId="0" borderId="11" xfId="37" applyNumberFormat="1" applyFont="1" applyFill="1" applyBorder="1" applyAlignment="1">
      <alignment horizontal="right" vertical="center" wrapText="1"/>
    </xf>
    <xf numFmtId="4" fontId="7" fillId="0" borderId="15" xfId="37" applyNumberFormat="1" applyFont="1" applyFill="1" applyBorder="1" applyAlignment="1">
      <alignment horizontal="right" vertical="center" wrapText="1"/>
    </xf>
    <xf numFmtId="4" fontId="7" fillId="0" borderId="11" xfId="37" applyNumberFormat="1" applyFont="1" applyFill="1" applyBorder="1" applyAlignment="1">
      <alignment horizontal="right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19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6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2" fillId="19" borderId="10" xfId="37" applyNumberFormat="1" applyFont="1" applyFill="1" applyBorder="1" applyAlignment="1">
      <alignment horizontal="center" vertical="center" wrapText="1"/>
    </xf>
    <xf numFmtId="0" fontId="5" fillId="19" borderId="23" xfId="37" applyFont="1" applyFill="1" applyBorder="1" applyAlignment="1">
      <alignment horizontal="center" vertical="center" wrapText="1"/>
    </xf>
    <xf numFmtId="0" fontId="5" fillId="19" borderId="22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30" fillId="19" borderId="10" xfId="37" applyFont="1" applyFill="1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21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ny" xfId="0" builtinId="0"/>
    <cellStyle name="Normalny_Zeszyt1" xfId="37"/>
    <cellStyle name="Note" xfId="38"/>
    <cellStyle name="Output" xfId="39"/>
    <cellStyle name="Title" xfId="40"/>
    <cellStyle name="Total" xfId="4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107"/>
  <sheetViews>
    <sheetView tabSelected="1" zoomScaleNormal="100" zoomScaleSheetLayoutView="50" workbookViewId="0">
      <selection activeCell="A6" sqref="A6:A10"/>
    </sheetView>
  </sheetViews>
  <sheetFormatPr defaultRowHeight="13.5" customHeight="1" x14ac:dyDescent="0.2"/>
  <cols>
    <col min="1" max="1" width="22.5703125" style="2" customWidth="1"/>
    <col min="2" max="3" width="14.7109375" style="2" customWidth="1"/>
    <col min="4" max="4" width="13.28515625" style="2" customWidth="1"/>
    <col min="5" max="5" width="12.28515625" style="2" customWidth="1"/>
    <col min="6" max="6" width="11.85546875" style="2" customWidth="1"/>
    <col min="7" max="7" width="11" style="2" customWidth="1"/>
    <col min="8" max="8" width="11.140625" style="2" customWidth="1"/>
    <col min="9" max="9" width="12.28515625" style="2" customWidth="1"/>
    <col min="10" max="10" width="13.5703125" style="2" customWidth="1"/>
    <col min="11" max="11" width="12.140625" style="2" customWidth="1"/>
    <col min="12" max="12" width="13.28515625" style="2" customWidth="1"/>
    <col min="13" max="13" width="11.140625" style="2" bestFit="1" customWidth="1"/>
    <col min="14" max="14" width="11.28515625" style="2" bestFit="1" customWidth="1"/>
    <col min="15" max="15" width="9.28515625" style="2" bestFit="1" customWidth="1"/>
    <col min="16" max="16" width="7.5703125" style="2" bestFit="1" customWidth="1"/>
    <col min="17" max="17" width="9.85546875" style="2" bestFit="1" customWidth="1"/>
    <col min="18" max="16384" width="9.140625" style="2"/>
  </cols>
  <sheetData>
    <row r="1" spans="1:17" ht="75" customHeight="1" x14ac:dyDescent="0.2">
      <c r="A1" s="51" t="str">
        <f>CONCATENATE("Informacja z wykonania budżetów gmin za ",$C$104," ",$B$105," roku   ",$B$107,"")</f>
        <v xml:space="preserve">Informacja z wykonania budżetów gmin za I Kwartał 2022 roku   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55" t="s">
        <v>64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5" spans="1:17" ht="13.5" customHeight="1" x14ac:dyDescent="0.2">
      <c r="B5" s="12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11"/>
      <c r="O5" s="11"/>
      <c r="P5" s="11"/>
      <c r="Q5" s="11"/>
    </row>
    <row r="6" spans="1:17" ht="13.5" customHeight="1" x14ac:dyDescent="0.2">
      <c r="A6" s="57" t="s">
        <v>0</v>
      </c>
      <c r="B6" s="56" t="s">
        <v>65</v>
      </c>
      <c r="C6" s="48" t="s">
        <v>69</v>
      </c>
      <c r="D6" s="49"/>
      <c r="E6" s="49"/>
      <c r="F6" s="49"/>
      <c r="G6" s="49"/>
      <c r="H6" s="49"/>
      <c r="I6" s="49"/>
      <c r="J6" s="49"/>
      <c r="K6" s="49"/>
      <c r="L6" s="49"/>
      <c r="M6" s="49"/>
      <c r="N6" s="50"/>
      <c r="O6" s="95" t="s">
        <v>68</v>
      </c>
      <c r="P6" s="96"/>
      <c r="Q6" s="97"/>
    </row>
    <row r="7" spans="1:17" ht="13.5" customHeight="1" x14ac:dyDescent="0.2">
      <c r="A7" s="58"/>
      <c r="B7" s="43"/>
      <c r="C7" s="44" t="s">
        <v>66</v>
      </c>
      <c r="D7" s="44" t="s">
        <v>77</v>
      </c>
      <c r="E7" s="44" t="s">
        <v>70</v>
      </c>
      <c r="F7" s="44" t="s">
        <v>71</v>
      </c>
      <c r="G7" s="44" t="s">
        <v>27</v>
      </c>
      <c r="H7" s="44" t="s">
        <v>28</v>
      </c>
      <c r="I7" s="60" t="s">
        <v>67</v>
      </c>
      <c r="J7" s="44" t="s">
        <v>16</v>
      </c>
      <c r="K7" s="44" t="s">
        <v>17</v>
      </c>
      <c r="L7" s="44" t="s">
        <v>18</v>
      </c>
      <c r="M7" s="44" t="s">
        <v>19</v>
      </c>
      <c r="N7" s="43" t="s">
        <v>20</v>
      </c>
      <c r="O7" s="47" t="s">
        <v>21</v>
      </c>
      <c r="P7" s="47" t="s">
        <v>22</v>
      </c>
      <c r="Q7" s="47" t="s">
        <v>23</v>
      </c>
    </row>
    <row r="8" spans="1:17" ht="13.5" customHeight="1" x14ac:dyDescent="0.2">
      <c r="A8" s="58"/>
      <c r="B8" s="43"/>
      <c r="C8" s="45"/>
      <c r="D8" s="45"/>
      <c r="E8" s="45"/>
      <c r="F8" s="45"/>
      <c r="G8" s="45"/>
      <c r="H8" s="45"/>
      <c r="I8" s="60"/>
      <c r="J8" s="45"/>
      <c r="K8" s="45"/>
      <c r="L8" s="45"/>
      <c r="M8" s="45"/>
      <c r="N8" s="43"/>
      <c r="O8" s="47"/>
      <c r="P8" s="47"/>
      <c r="Q8" s="47"/>
    </row>
    <row r="9" spans="1:17" ht="11.25" customHeight="1" x14ac:dyDescent="0.2">
      <c r="A9" s="58"/>
      <c r="B9" s="43"/>
      <c r="C9" s="45"/>
      <c r="D9" s="45"/>
      <c r="E9" s="45"/>
      <c r="F9" s="45"/>
      <c r="G9" s="45"/>
      <c r="H9" s="45"/>
      <c r="I9" s="60"/>
      <c r="J9" s="45"/>
      <c r="K9" s="45"/>
      <c r="L9" s="45"/>
      <c r="M9" s="45"/>
      <c r="N9" s="43"/>
      <c r="O9" s="47"/>
      <c r="P9" s="47"/>
      <c r="Q9" s="47"/>
    </row>
    <row r="10" spans="1:17" ht="16.5" customHeight="1" x14ac:dyDescent="0.2">
      <c r="A10" s="59"/>
      <c r="B10" s="44"/>
      <c r="C10" s="45"/>
      <c r="D10" s="45"/>
      <c r="E10" s="45"/>
      <c r="F10" s="45"/>
      <c r="G10" s="45"/>
      <c r="H10" s="45"/>
      <c r="I10" s="61"/>
      <c r="J10" s="45"/>
      <c r="K10" s="45"/>
      <c r="L10" s="45"/>
      <c r="M10" s="45"/>
      <c r="N10" s="44"/>
      <c r="O10" s="47"/>
      <c r="P10" s="47"/>
      <c r="Q10" s="47"/>
    </row>
    <row r="11" spans="1:17" ht="16.5" customHeight="1" x14ac:dyDescent="0.2">
      <c r="A11" s="14">
        <v>1</v>
      </c>
      <c r="B11" s="14">
        <v>2</v>
      </c>
      <c r="C11" s="14">
        <v>3</v>
      </c>
      <c r="D11" s="14">
        <v>4</v>
      </c>
      <c r="E11" s="14">
        <v>5</v>
      </c>
      <c r="F11" s="14">
        <v>6</v>
      </c>
      <c r="G11" s="14">
        <v>7</v>
      </c>
      <c r="H11" s="14">
        <v>8</v>
      </c>
      <c r="I11" s="14">
        <v>9</v>
      </c>
      <c r="J11" s="14">
        <v>10</v>
      </c>
      <c r="K11" s="14">
        <v>11</v>
      </c>
      <c r="L11" s="14">
        <v>12</v>
      </c>
      <c r="M11" s="14">
        <v>13</v>
      </c>
      <c r="N11" s="14">
        <v>14</v>
      </c>
      <c r="O11" s="14">
        <v>15</v>
      </c>
      <c r="P11" s="14">
        <v>16</v>
      </c>
      <c r="Q11" s="14">
        <v>17</v>
      </c>
    </row>
    <row r="12" spans="1:17" ht="13.5" customHeight="1" x14ac:dyDescent="0.2">
      <c r="A12" s="14"/>
      <c r="B12" s="36" t="s">
        <v>80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8"/>
      <c r="P12" s="38"/>
      <c r="Q12" s="39"/>
    </row>
    <row r="13" spans="1:17" ht="48" x14ac:dyDescent="0.2">
      <c r="A13" s="27" t="s">
        <v>46</v>
      </c>
      <c r="B13" s="28">
        <f>33158694134.61</f>
        <v>33158694134.610001</v>
      </c>
      <c r="C13" s="28">
        <f>33158692737.39</f>
        <v>33158692737.389999</v>
      </c>
      <c r="D13" s="28">
        <f>2515532907.38</f>
        <v>2515532907.3800001</v>
      </c>
      <c r="E13" s="28">
        <f>245459259.93</f>
        <v>245459259.93000001</v>
      </c>
      <c r="F13" s="28">
        <f>388328593.02</f>
        <v>388328593.01999998</v>
      </c>
      <c r="G13" s="28">
        <f>1878623585.16</f>
        <v>1878623585.1600001</v>
      </c>
      <c r="H13" s="28">
        <f>3121469.27</f>
        <v>3121469.27</v>
      </c>
      <c r="I13" s="28">
        <f>0</f>
        <v>0</v>
      </c>
      <c r="J13" s="28">
        <f>28861551605.46</f>
        <v>28861551605.459999</v>
      </c>
      <c r="K13" s="28">
        <f>1515926619.49</f>
        <v>1515926619.49</v>
      </c>
      <c r="L13" s="28">
        <f>233217542.83</f>
        <v>233217542.83000001</v>
      </c>
      <c r="M13" s="28">
        <f>17637444.59</f>
        <v>17637444.59</v>
      </c>
      <c r="N13" s="28">
        <f>14826617.64</f>
        <v>14826617.640000001</v>
      </c>
      <c r="O13" s="28">
        <f>1397.22</f>
        <v>1397.22</v>
      </c>
      <c r="P13" s="28">
        <f>0</f>
        <v>0</v>
      </c>
      <c r="Q13" s="28">
        <f>1397.22</f>
        <v>1397.22</v>
      </c>
    </row>
    <row r="14" spans="1:17" ht="26.25" customHeight="1" x14ac:dyDescent="0.2">
      <c r="A14" s="29" t="s">
        <v>47</v>
      </c>
      <c r="B14" s="28">
        <f>759301606.56</f>
        <v>759301606.55999994</v>
      </c>
      <c r="C14" s="28">
        <f>759301606.56</f>
        <v>759301606.55999994</v>
      </c>
      <c r="D14" s="28">
        <f>0</f>
        <v>0</v>
      </c>
      <c r="E14" s="28">
        <f>0</f>
        <v>0</v>
      </c>
      <c r="F14" s="28">
        <f>0</f>
        <v>0</v>
      </c>
      <c r="G14" s="28">
        <f>0</f>
        <v>0</v>
      </c>
      <c r="H14" s="28">
        <f>0</f>
        <v>0</v>
      </c>
      <c r="I14" s="28">
        <f>0</f>
        <v>0</v>
      </c>
      <c r="J14" s="28">
        <f>711490507</f>
        <v>711490507</v>
      </c>
      <c r="K14" s="28">
        <f>47687000</f>
        <v>47687000</v>
      </c>
      <c r="L14" s="28">
        <f>124099.56</f>
        <v>124099.56</v>
      </c>
      <c r="M14" s="28">
        <f>0</f>
        <v>0</v>
      </c>
      <c r="N14" s="28">
        <f>0</f>
        <v>0</v>
      </c>
      <c r="O14" s="28">
        <f>0</f>
        <v>0</v>
      </c>
      <c r="P14" s="28">
        <f>0</f>
        <v>0</v>
      </c>
      <c r="Q14" s="28">
        <f>0</f>
        <v>0</v>
      </c>
    </row>
    <row r="15" spans="1:17" ht="27" customHeight="1" x14ac:dyDescent="0.2">
      <c r="A15" s="19" t="s">
        <v>48</v>
      </c>
      <c r="B15" s="33">
        <f>4000000</f>
        <v>4000000</v>
      </c>
      <c r="C15" s="33">
        <f>4000000</f>
        <v>4000000</v>
      </c>
      <c r="D15" s="33">
        <f>0</f>
        <v>0</v>
      </c>
      <c r="E15" s="33">
        <f>0</f>
        <v>0</v>
      </c>
      <c r="F15" s="33">
        <f>0</f>
        <v>0</v>
      </c>
      <c r="G15" s="33">
        <f>0</f>
        <v>0</v>
      </c>
      <c r="H15" s="33">
        <f>0</f>
        <v>0</v>
      </c>
      <c r="I15" s="33">
        <f>0</f>
        <v>0</v>
      </c>
      <c r="J15" s="33">
        <f>4000000</f>
        <v>4000000</v>
      </c>
      <c r="K15" s="33">
        <f>0</f>
        <v>0</v>
      </c>
      <c r="L15" s="33">
        <f>0</f>
        <v>0</v>
      </c>
      <c r="M15" s="33">
        <f>0</f>
        <v>0</v>
      </c>
      <c r="N15" s="33">
        <f>0</f>
        <v>0</v>
      </c>
      <c r="O15" s="33">
        <f>0</f>
        <v>0</v>
      </c>
      <c r="P15" s="33">
        <f>0</f>
        <v>0</v>
      </c>
      <c r="Q15" s="33">
        <f>0</f>
        <v>0</v>
      </c>
    </row>
    <row r="16" spans="1:17" ht="24" customHeight="1" x14ac:dyDescent="0.2">
      <c r="A16" s="19" t="s">
        <v>49</v>
      </c>
      <c r="B16" s="33">
        <f>755301606.56</f>
        <v>755301606.55999994</v>
      </c>
      <c r="C16" s="33">
        <f>755301606.56</f>
        <v>755301606.55999994</v>
      </c>
      <c r="D16" s="33">
        <f>0</f>
        <v>0</v>
      </c>
      <c r="E16" s="33">
        <f>0</f>
        <v>0</v>
      </c>
      <c r="F16" s="33">
        <f>0</f>
        <v>0</v>
      </c>
      <c r="G16" s="33">
        <f>0</f>
        <v>0</v>
      </c>
      <c r="H16" s="33">
        <f>0</f>
        <v>0</v>
      </c>
      <c r="I16" s="33">
        <f>0</f>
        <v>0</v>
      </c>
      <c r="J16" s="33">
        <f>707490507</f>
        <v>707490507</v>
      </c>
      <c r="K16" s="33">
        <f>47687000</f>
        <v>47687000</v>
      </c>
      <c r="L16" s="33">
        <f>124099.56</f>
        <v>124099.56</v>
      </c>
      <c r="M16" s="33">
        <f>0</f>
        <v>0</v>
      </c>
      <c r="N16" s="33">
        <f>0</f>
        <v>0</v>
      </c>
      <c r="O16" s="33">
        <f>0</f>
        <v>0</v>
      </c>
      <c r="P16" s="33">
        <f>0</f>
        <v>0</v>
      </c>
      <c r="Q16" s="33">
        <f>0</f>
        <v>0</v>
      </c>
    </row>
    <row r="17" spans="1:17" ht="31.5" customHeight="1" x14ac:dyDescent="0.2">
      <c r="A17" s="30" t="s">
        <v>50</v>
      </c>
      <c r="B17" s="28">
        <f>32367141530.72</f>
        <v>32367141530.720001</v>
      </c>
      <c r="C17" s="28">
        <f>32367141530.72</f>
        <v>32367141530.720001</v>
      </c>
      <c r="D17" s="28">
        <f>2504107898.65</f>
        <v>2504107898.6500001</v>
      </c>
      <c r="E17" s="28">
        <f>245161357.47</f>
        <v>245161357.47</v>
      </c>
      <c r="F17" s="28">
        <f>388324018.59</f>
        <v>388324018.58999997</v>
      </c>
      <c r="G17" s="28">
        <f>1870622522.59</f>
        <v>1870622522.5899999</v>
      </c>
      <c r="H17" s="28">
        <f>0</f>
        <v>0</v>
      </c>
      <c r="I17" s="28">
        <f>0</f>
        <v>0</v>
      </c>
      <c r="J17" s="28">
        <f>28149670152.66</f>
        <v>28149670152.66</v>
      </c>
      <c r="K17" s="28">
        <f>1468225720.49</f>
        <v>1468225720.49</v>
      </c>
      <c r="L17" s="28">
        <f>222416772.41</f>
        <v>222416772.41</v>
      </c>
      <c r="M17" s="28">
        <f>10881848.37</f>
        <v>10881848.369999999</v>
      </c>
      <c r="N17" s="28">
        <f>11839138.14</f>
        <v>11839138.140000001</v>
      </c>
      <c r="O17" s="28">
        <f>0</f>
        <v>0</v>
      </c>
      <c r="P17" s="28">
        <f>0</f>
        <v>0</v>
      </c>
      <c r="Q17" s="28">
        <f>0</f>
        <v>0</v>
      </c>
    </row>
    <row r="18" spans="1:17" ht="33" customHeight="1" x14ac:dyDescent="0.2">
      <c r="A18" s="20" t="s">
        <v>51</v>
      </c>
      <c r="B18" s="33">
        <f>125639701.1</f>
        <v>125639701.09999999</v>
      </c>
      <c r="C18" s="33">
        <f>125639701.1</f>
        <v>125639701.09999999</v>
      </c>
      <c r="D18" s="33">
        <f>33123076.47</f>
        <v>33123076.469999999</v>
      </c>
      <c r="E18" s="33">
        <f>15012736.99</f>
        <v>15012736.99</v>
      </c>
      <c r="F18" s="33">
        <f>1520911.68</f>
        <v>1520911.68</v>
      </c>
      <c r="G18" s="33">
        <f>16589427.8</f>
        <v>16589427.800000001</v>
      </c>
      <c r="H18" s="33">
        <f>0</f>
        <v>0</v>
      </c>
      <c r="I18" s="33">
        <f>0</f>
        <v>0</v>
      </c>
      <c r="J18" s="33">
        <f>84732796.53</f>
        <v>84732796.530000001</v>
      </c>
      <c r="K18" s="33">
        <f>6153953.32</f>
        <v>6153953.3200000003</v>
      </c>
      <c r="L18" s="33">
        <f>831639.48</f>
        <v>831639.48</v>
      </c>
      <c r="M18" s="33">
        <f>450000</f>
        <v>450000</v>
      </c>
      <c r="N18" s="33">
        <f>348235.3</f>
        <v>348235.3</v>
      </c>
      <c r="O18" s="33">
        <f>0</f>
        <v>0</v>
      </c>
      <c r="P18" s="33">
        <f>0</f>
        <v>0</v>
      </c>
      <c r="Q18" s="33">
        <f>0</f>
        <v>0</v>
      </c>
    </row>
    <row r="19" spans="1:17" ht="25.5" customHeight="1" x14ac:dyDescent="0.2">
      <c r="A19" s="21" t="s">
        <v>52</v>
      </c>
      <c r="B19" s="33">
        <f>32241501829.62</f>
        <v>32241501829.619999</v>
      </c>
      <c r="C19" s="33">
        <f>32241501829.62</f>
        <v>32241501829.619999</v>
      </c>
      <c r="D19" s="33">
        <f>2470984822.18</f>
        <v>2470984822.1799998</v>
      </c>
      <c r="E19" s="33">
        <f>230148620.48</f>
        <v>230148620.47999999</v>
      </c>
      <c r="F19" s="33">
        <f>386803106.91</f>
        <v>386803106.91000003</v>
      </c>
      <c r="G19" s="33">
        <f>1854033094.79</f>
        <v>1854033094.79</v>
      </c>
      <c r="H19" s="33">
        <f>0</f>
        <v>0</v>
      </c>
      <c r="I19" s="33">
        <f>0</f>
        <v>0</v>
      </c>
      <c r="J19" s="33">
        <f>28064937356.13</f>
        <v>28064937356.130001</v>
      </c>
      <c r="K19" s="33">
        <f>1462071767.17</f>
        <v>1462071767.1700001</v>
      </c>
      <c r="L19" s="33">
        <f>221585132.93</f>
        <v>221585132.93000001</v>
      </c>
      <c r="M19" s="33">
        <f>10431848.37</f>
        <v>10431848.369999999</v>
      </c>
      <c r="N19" s="33">
        <f>11490902.84</f>
        <v>11490902.84</v>
      </c>
      <c r="O19" s="33">
        <f>0</f>
        <v>0</v>
      </c>
      <c r="P19" s="33">
        <f>0</f>
        <v>0</v>
      </c>
      <c r="Q19" s="33">
        <f>0</f>
        <v>0</v>
      </c>
    </row>
    <row r="20" spans="1:17" ht="27.75" customHeight="1" x14ac:dyDescent="0.2">
      <c r="A20" s="31" t="s">
        <v>53</v>
      </c>
      <c r="B20" s="28">
        <f>0</f>
        <v>0</v>
      </c>
      <c r="C20" s="28">
        <f>0</f>
        <v>0</v>
      </c>
      <c r="D20" s="28">
        <f>0</f>
        <v>0</v>
      </c>
      <c r="E20" s="28">
        <f>0</f>
        <v>0</v>
      </c>
      <c r="F20" s="28">
        <f>0</f>
        <v>0</v>
      </c>
      <c r="G20" s="28">
        <f>0</f>
        <v>0</v>
      </c>
      <c r="H20" s="28">
        <f>0</f>
        <v>0</v>
      </c>
      <c r="I20" s="28">
        <f>0</f>
        <v>0</v>
      </c>
      <c r="J20" s="28">
        <f>0</f>
        <v>0</v>
      </c>
      <c r="K20" s="28">
        <f>0</f>
        <v>0</v>
      </c>
      <c r="L20" s="28">
        <f>0</f>
        <v>0</v>
      </c>
      <c r="M20" s="28">
        <f>0</f>
        <v>0</v>
      </c>
      <c r="N20" s="28">
        <f>0</f>
        <v>0</v>
      </c>
      <c r="O20" s="28">
        <f>0</f>
        <v>0</v>
      </c>
      <c r="P20" s="28">
        <f>0</f>
        <v>0</v>
      </c>
      <c r="Q20" s="28">
        <f>0</f>
        <v>0</v>
      </c>
    </row>
    <row r="21" spans="1:17" ht="36" x14ac:dyDescent="0.2">
      <c r="A21" s="32" t="s">
        <v>54</v>
      </c>
      <c r="B21" s="28">
        <f>32250997.33</f>
        <v>32250997.329999998</v>
      </c>
      <c r="C21" s="28">
        <f>32249600.11</f>
        <v>32249600.109999999</v>
      </c>
      <c r="D21" s="28">
        <f>11425008.73</f>
        <v>11425008.73</v>
      </c>
      <c r="E21" s="28">
        <f>297902.46</f>
        <v>297902.46000000002</v>
      </c>
      <c r="F21" s="28">
        <f>4574.43</f>
        <v>4574.43</v>
      </c>
      <c r="G21" s="28">
        <f>8001062.57</f>
        <v>8001062.5700000003</v>
      </c>
      <c r="H21" s="28">
        <f>3121469.27</f>
        <v>3121469.27</v>
      </c>
      <c r="I21" s="28">
        <f>0</f>
        <v>0</v>
      </c>
      <c r="J21" s="28">
        <f>390945.8</f>
        <v>390945.8</v>
      </c>
      <c r="K21" s="28">
        <f>13899</f>
        <v>13899</v>
      </c>
      <c r="L21" s="28">
        <f>10676670.86</f>
        <v>10676670.859999999</v>
      </c>
      <c r="M21" s="28">
        <f>6755596.22</f>
        <v>6755596.2199999997</v>
      </c>
      <c r="N21" s="28">
        <f>2987479.5</f>
        <v>2987479.5</v>
      </c>
      <c r="O21" s="28">
        <f>1397.22</f>
        <v>1397.22</v>
      </c>
      <c r="P21" s="28">
        <f>0</f>
        <v>0</v>
      </c>
      <c r="Q21" s="28">
        <f>1397.22</f>
        <v>1397.22</v>
      </c>
    </row>
    <row r="22" spans="1:17" ht="27" customHeight="1" x14ac:dyDescent="0.2">
      <c r="A22" s="19" t="s">
        <v>55</v>
      </c>
      <c r="B22" s="33">
        <f>16890746.32</f>
        <v>16890746.32</v>
      </c>
      <c r="C22" s="33">
        <f>16890746.32</f>
        <v>16890746.32</v>
      </c>
      <c r="D22" s="33">
        <f>1762241.17</f>
        <v>1762241.17</v>
      </c>
      <c r="E22" s="33">
        <f>8580</f>
        <v>8580</v>
      </c>
      <c r="F22" s="33">
        <f>3461</f>
        <v>3461</v>
      </c>
      <c r="G22" s="33">
        <f>1750200.17</f>
        <v>1750200.17</v>
      </c>
      <c r="H22" s="33">
        <f>0</f>
        <v>0</v>
      </c>
      <c r="I22" s="33">
        <f>0</f>
        <v>0</v>
      </c>
      <c r="J22" s="33">
        <f>0</f>
        <v>0</v>
      </c>
      <c r="K22" s="33">
        <f>0</f>
        <v>0</v>
      </c>
      <c r="L22" s="33">
        <f>7993555.59</f>
        <v>7993555.5899999999</v>
      </c>
      <c r="M22" s="33">
        <f>4246038.77</f>
        <v>4246038.7699999996</v>
      </c>
      <c r="N22" s="33">
        <f>2888910.79</f>
        <v>2888910.79</v>
      </c>
      <c r="O22" s="33">
        <f>0</f>
        <v>0</v>
      </c>
      <c r="P22" s="33">
        <f>0</f>
        <v>0</v>
      </c>
      <c r="Q22" s="33">
        <f>0</f>
        <v>0</v>
      </c>
    </row>
    <row r="23" spans="1:17" ht="31.5" customHeight="1" x14ac:dyDescent="0.2">
      <c r="A23" s="25" t="s">
        <v>56</v>
      </c>
      <c r="B23" s="33">
        <f>15360251.01</f>
        <v>15360251.01</v>
      </c>
      <c r="C23" s="33">
        <f>15358853.79</f>
        <v>15358853.789999999</v>
      </c>
      <c r="D23" s="33">
        <f>9662767.56</f>
        <v>9662767.5600000005</v>
      </c>
      <c r="E23" s="33">
        <f>289322.46</f>
        <v>289322.46000000002</v>
      </c>
      <c r="F23" s="33">
        <f>1113.43</f>
        <v>1113.43</v>
      </c>
      <c r="G23" s="33">
        <f>6250862.4</f>
        <v>6250862.4000000004</v>
      </c>
      <c r="H23" s="33">
        <f>3121469.27</f>
        <v>3121469.27</v>
      </c>
      <c r="I23" s="33">
        <f>0</f>
        <v>0</v>
      </c>
      <c r="J23" s="33">
        <f>390945.8</f>
        <v>390945.8</v>
      </c>
      <c r="K23" s="33">
        <f>13899</f>
        <v>13899</v>
      </c>
      <c r="L23" s="33">
        <f>2683115.27</f>
        <v>2683115.27</v>
      </c>
      <c r="M23" s="33">
        <f>2509557.45</f>
        <v>2509557.4500000002</v>
      </c>
      <c r="N23" s="33">
        <f>98568.71</f>
        <v>98568.71</v>
      </c>
      <c r="O23" s="33">
        <f>1397.22</f>
        <v>1397.22</v>
      </c>
      <c r="P23" s="33">
        <f>0</f>
        <v>0</v>
      </c>
      <c r="Q23" s="33">
        <f>1397.22</f>
        <v>1397.22</v>
      </c>
    </row>
    <row r="24" spans="1:17" ht="19.5" customHeight="1" x14ac:dyDescent="0.2">
      <c r="A24" s="17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</row>
    <row r="25" spans="1:17" ht="19.5" customHeight="1" x14ac:dyDescent="0.2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</row>
    <row r="26" spans="1:17" ht="19.5" customHeight="1" x14ac:dyDescent="0.2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</row>
    <row r="27" spans="1:17" ht="19.5" customHeight="1" x14ac:dyDescent="0.2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</row>
    <row r="28" spans="1:17" ht="19.5" customHeight="1" x14ac:dyDescent="0.2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</row>
    <row r="29" spans="1:17" ht="19.5" customHeight="1" x14ac:dyDescent="0.2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</row>
    <row r="30" spans="1:17" ht="19.5" customHeight="1" x14ac:dyDescent="0.2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</row>
    <row r="31" spans="1:17" ht="19.5" customHeight="1" x14ac:dyDescent="0.2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</row>
    <row r="32" spans="1:17" ht="19.5" customHeight="1" x14ac:dyDescent="0.2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</row>
    <row r="33" spans="1:17" ht="19.5" customHeight="1" x14ac:dyDescent="0.2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</row>
    <row r="34" spans="1:17" ht="45.75" customHeight="1" x14ac:dyDescent="0.2">
      <c r="A34" s="51" t="str">
        <f>CONCATENATE("Informacja z wykonania budżetów gmin za ",$C$104," ",$B$105," roku   ",$B$107,"")</f>
        <v xml:space="preserve">Informacja z wykonania budżetów gmin za I Kwartał 2022 roku   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</row>
    <row r="36" spans="1:17" ht="13.5" customHeight="1" x14ac:dyDescent="0.2">
      <c r="A36" s="55" t="s">
        <v>11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</row>
    <row r="38" spans="1:17" ht="13.5" customHeight="1" x14ac:dyDescent="0.2">
      <c r="A38" s="40" t="s">
        <v>0</v>
      </c>
      <c r="B38" s="56" t="s">
        <v>12</v>
      </c>
      <c r="C38" s="48" t="s">
        <v>14</v>
      </c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50"/>
      <c r="O38" s="52" t="s">
        <v>24</v>
      </c>
      <c r="P38" s="53"/>
      <c r="Q38" s="54"/>
    </row>
    <row r="39" spans="1:17" ht="13.5" customHeight="1" x14ac:dyDescent="0.2">
      <c r="A39" s="41"/>
      <c r="B39" s="43"/>
      <c r="C39" s="43" t="s">
        <v>13</v>
      </c>
      <c r="D39" s="45" t="s">
        <v>15</v>
      </c>
      <c r="E39" s="45" t="s">
        <v>25</v>
      </c>
      <c r="F39" s="45" t="s">
        <v>26</v>
      </c>
      <c r="G39" s="45" t="s">
        <v>74</v>
      </c>
      <c r="H39" s="45" t="s">
        <v>28</v>
      </c>
      <c r="I39" s="45" t="s">
        <v>1</v>
      </c>
      <c r="J39" s="45" t="s">
        <v>16</v>
      </c>
      <c r="K39" s="45" t="s">
        <v>17</v>
      </c>
      <c r="L39" s="45" t="s">
        <v>18</v>
      </c>
      <c r="M39" s="45" t="s">
        <v>19</v>
      </c>
      <c r="N39" s="89" t="s">
        <v>20</v>
      </c>
      <c r="O39" s="47" t="s">
        <v>21</v>
      </c>
      <c r="P39" s="47" t="s">
        <v>22</v>
      </c>
      <c r="Q39" s="98" t="s">
        <v>23</v>
      </c>
    </row>
    <row r="40" spans="1:17" ht="11.25" customHeight="1" x14ac:dyDescent="0.2">
      <c r="A40" s="41"/>
      <c r="B40" s="43"/>
      <c r="C40" s="43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89"/>
      <c r="O40" s="47"/>
      <c r="P40" s="47"/>
      <c r="Q40" s="99"/>
    </row>
    <row r="41" spans="1:17" ht="32.25" customHeight="1" x14ac:dyDescent="0.2">
      <c r="A41" s="42"/>
      <c r="B41" s="44"/>
      <c r="C41" s="44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89"/>
      <c r="O41" s="47"/>
      <c r="P41" s="47"/>
      <c r="Q41" s="100"/>
    </row>
    <row r="42" spans="1:17" ht="12.75" customHeight="1" x14ac:dyDescent="0.2">
      <c r="A42" s="14">
        <v>1</v>
      </c>
      <c r="B42" s="14">
        <v>2</v>
      </c>
      <c r="C42" s="14">
        <v>3</v>
      </c>
      <c r="D42" s="14">
        <v>4</v>
      </c>
      <c r="E42" s="14">
        <v>5</v>
      </c>
      <c r="F42" s="14">
        <v>6</v>
      </c>
      <c r="G42" s="14">
        <v>7</v>
      </c>
      <c r="H42" s="14">
        <v>8</v>
      </c>
      <c r="I42" s="14">
        <v>9</v>
      </c>
      <c r="J42" s="14">
        <v>10</v>
      </c>
      <c r="K42" s="14">
        <v>11</v>
      </c>
      <c r="L42" s="14">
        <v>12</v>
      </c>
      <c r="M42" s="14">
        <v>13</v>
      </c>
      <c r="N42" s="14">
        <v>14</v>
      </c>
      <c r="O42" s="14">
        <v>15</v>
      </c>
      <c r="P42" s="14">
        <v>16</v>
      </c>
      <c r="Q42" s="14">
        <v>17</v>
      </c>
    </row>
    <row r="43" spans="1:17" ht="13.5" customHeight="1" x14ac:dyDescent="0.2">
      <c r="A43" s="14"/>
      <c r="B43" s="48" t="s">
        <v>80</v>
      </c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50"/>
    </row>
    <row r="44" spans="1:17" ht="24.75" customHeight="1" x14ac:dyDescent="0.2">
      <c r="A44" s="34" t="s">
        <v>41</v>
      </c>
      <c r="B44" s="35">
        <f>6675751.79</f>
        <v>6675751.79</v>
      </c>
      <c r="C44" s="35">
        <f>6675751.79</f>
        <v>6675751.79</v>
      </c>
      <c r="D44" s="35">
        <f>0</f>
        <v>0</v>
      </c>
      <c r="E44" s="35">
        <f>0</f>
        <v>0</v>
      </c>
      <c r="F44" s="35">
        <f>0</f>
        <v>0</v>
      </c>
      <c r="G44" s="35">
        <f>0</f>
        <v>0</v>
      </c>
      <c r="H44" s="35">
        <f>0</f>
        <v>0</v>
      </c>
      <c r="I44" s="35">
        <f>0</f>
        <v>0</v>
      </c>
      <c r="J44" s="35">
        <f>183554.8</f>
        <v>183554.8</v>
      </c>
      <c r="K44" s="35">
        <f>25590</f>
        <v>25590</v>
      </c>
      <c r="L44" s="35">
        <f>1872045.47</f>
        <v>1872045.47</v>
      </c>
      <c r="M44" s="35">
        <f>4553523.15</f>
        <v>4553523.1500000004</v>
      </c>
      <c r="N44" s="35">
        <f>41038.37</f>
        <v>41038.370000000003</v>
      </c>
      <c r="O44" s="35">
        <f>0</f>
        <v>0</v>
      </c>
      <c r="P44" s="35">
        <f>0</f>
        <v>0</v>
      </c>
      <c r="Q44" s="35">
        <f>0</f>
        <v>0</v>
      </c>
    </row>
    <row r="45" spans="1:17" ht="24.75" customHeight="1" x14ac:dyDescent="0.2">
      <c r="A45" s="23" t="s">
        <v>29</v>
      </c>
      <c r="B45" s="26">
        <f>47930.72</f>
        <v>47930.720000000001</v>
      </c>
      <c r="C45" s="26">
        <f>47930.72</f>
        <v>47930.720000000001</v>
      </c>
      <c r="D45" s="26">
        <f>0</f>
        <v>0</v>
      </c>
      <c r="E45" s="26">
        <f>0</f>
        <v>0</v>
      </c>
      <c r="F45" s="26">
        <f>0</f>
        <v>0</v>
      </c>
      <c r="G45" s="26">
        <f>0</f>
        <v>0</v>
      </c>
      <c r="H45" s="26">
        <f>0</f>
        <v>0</v>
      </c>
      <c r="I45" s="26">
        <f>0</f>
        <v>0</v>
      </c>
      <c r="J45" s="26">
        <f>6000</f>
        <v>6000</v>
      </c>
      <c r="K45" s="26">
        <f>0</f>
        <v>0</v>
      </c>
      <c r="L45" s="26">
        <f>28629</f>
        <v>28629</v>
      </c>
      <c r="M45" s="26">
        <f>13301.72</f>
        <v>13301.72</v>
      </c>
      <c r="N45" s="26">
        <f>0</f>
        <v>0</v>
      </c>
      <c r="O45" s="15">
        <f>0</f>
        <v>0</v>
      </c>
      <c r="P45" s="15">
        <f>0</f>
        <v>0</v>
      </c>
      <c r="Q45" s="15">
        <f>0</f>
        <v>0</v>
      </c>
    </row>
    <row r="46" spans="1:17" ht="24.75" customHeight="1" x14ac:dyDescent="0.2">
      <c r="A46" s="23" t="s">
        <v>30</v>
      </c>
      <c r="B46" s="26">
        <f>6627821.07</f>
        <v>6627821.0700000003</v>
      </c>
      <c r="C46" s="26">
        <f>6627821.07</f>
        <v>6627821.0700000003</v>
      </c>
      <c r="D46" s="26">
        <f>0</f>
        <v>0</v>
      </c>
      <c r="E46" s="26">
        <f>0</f>
        <v>0</v>
      </c>
      <c r="F46" s="26">
        <f>0</f>
        <v>0</v>
      </c>
      <c r="G46" s="26">
        <f>0</f>
        <v>0</v>
      </c>
      <c r="H46" s="26">
        <f>0</f>
        <v>0</v>
      </c>
      <c r="I46" s="26">
        <f>0</f>
        <v>0</v>
      </c>
      <c r="J46" s="26">
        <f>177554.8</f>
        <v>177554.8</v>
      </c>
      <c r="K46" s="26">
        <f>25590</f>
        <v>25590</v>
      </c>
      <c r="L46" s="26">
        <f>1843416.47</f>
        <v>1843416.47</v>
      </c>
      <c r="M46" s="26">
        <f>4540221.43</f>
        <v>4540221.43</v>
      </c>
      <c r="N46" s="26">
        <f>41038.37</f>
        <v>41038.370000000003</v>
      </c>
      <c r="O46" s="15">
        <f>0</f>
        <v>0</v>
      </c>
      <c r="P46" s="15">
        <f>0</f>
        <v>0</v>
      </c>
      <c r="Q46" s="15">
        <f>0</f>
        <v>0</v>
      </c>
    </row>
    <row r="47" spans="1:17" ht="24.75" customHeight="1" x14ac:dyDescent="0.2">
      <c r="A47" s="24" t="s">
        <v>42</v>
      </c>
      <c r="B47" s="26">
        <f>364491754.98</f>
        <v>364491754.98000002</v>
      </c>
      <c r="C47" s="26">
        <f>364487871.32</f>
        <v>364487871.31999999</v>
      </c>
      <c r="D47" s="26">
        <f>37647535.71</f>
        <v>37647535.710000001</v>
      </c>
      <c r="E47" s="26">
        <f>19266.68</f>
        <v>19266.68</v>
      </c>
      <c r="F47" s="26">
        <f>4416</f>
        <v>4416</v>
      </c>
      <c r="G47" s="26">
        <f>22523853.03</f>
        <v>22523853.030000001</v>
      </c>
      <c r="H47" s="26">
        <f>15100000</f>
        <v>15100000</v>
      </c>
      <c r="I47" s="26">
        <f>0</f>
        <v>0</v>
      </c>
      <c r="J47" s="26">
        <f>117205.43</f>
        <v>117205.43</v>
      </c>
      <c r="K47" s="26">
        <f>0</f>
        <v>0</v>
      </c>
      <c r="L47" s="26">
        <f>126515155.71</f>
        <v>126515155.70999999</v>
      </c>
      <c r="M47" s="26">
        <f>171997955.49</f>
        <v>171997955.49000001</v>
      </c>
      <c r="N47" s="26">
        <f>28210018.98</f>
        <v>28210018.98</v>
      </c>
      <c r="O47" s="15">
        <f>3883.66</f>
        <v>3883.66</v>
      </c>
      <c r="P47" s="15">
        <f>3883.66</f>
        <v>3883.66</v>
      </c>
      <c r="Q47" s="15">
        <f>0</f>
        <v>0</v>
      </c>
    </row>
    <row r="48" spans="1:17" ht="24.75" customHeight="1" x14ac:dyDescent="0.2">
      <c r="A48" s="23" t="s">
        <v>31</v>
      </c>
      <c r="B48" s="26">
        <f>41117525.99</f>
        <v>41117525.990000002</v>
      </c>
      <c r="C48" s="26">
        <f>41117525.99</f>
        <v>41117525.990000002</v>
      </c>
      <c r="D48" s="26">
        <f>21271797.59</f>
        <v>21271797.59</v>
      </c>
      <c r="E48" s="26">
        <f>1118.41</f>
        <v>1118.4100000000001</v>
      </c>
      <c r="F48" s="26">
        <f>0</f>
        <v>0</v>
      </c>
      <c r="G48" s="26">
        <f>6170679.18</f>
        <v>6170679.1799999997</v>
      </c>
      <c r="H48" s="26">
        <f>15100000</f>
        <v>15100000</v>
      </c>
      <c r="I48" s="26">
        <f>0</f>
        <v>0</v>
      </c>
      <c r="J48" s="26">
        <f>0</f>
        <v>0</v>
      </c>
      <c r="K48" s="26">
        <f>0</f>
        <v>0</v>
      </c>
      <c r="L48" s="26">
        <f>7618683.67</f>
        <v>7618683.6699999999</v>
      </c>
      <c r="M48" s="26">
        <f>2382165.75</f>
        <v>2382165.75</v>
      </c>
      <c r="N48" s="26">
        <f>9844878.98</f>
        <v>9844878.9800000004</v>
      </c>
      <c r="O48" s="15">
        <f>0</f>
        <v>0</v>
      </c>
      <c r="P48" s="15">
        <f>0</f>
        <v>0</v>
      </c>
      <c r="Q48" s="15">
        <f>0</f>
        <v>0</v>
      </c>
    </row>
    <row r="49" spans="1:17" ht="24.75" customHeight="1" x14ac:dyDescent="0.2">
      <c r="A49" s="23" t="s">
        <v>32</v>
      </c>
      <c r="B49" s="26">
        <f>323374228.99</f>
        <v>323374228.99000001</v>
      </c>
      <c r="C49" s="26">
        <f>323370345.33</f>
        <v>323370345.32999998</v>
      </c>
      <c r="D49" s="26">
        <f>16375738.12</f>
        <v>16375738.119999999</v>
      </c>
      <c r="E49" s="26">
        <f>18148.27</f>
        <v>18148.27</v>
      </c>
      <c r="F49" s="26">
        <f>4416</f>
        <v>4416</v>
      </c>
      <c r="G49" s="26">
        <f>16353173.85</f>
        <v>16353173.85</v>
      </c>
      <c r="H49" s="26">
        <f>0</f>
        <v>0</v>
      </c>
      <c r="I49" s="26">
        <f>0</f>
        <v>0</v>
      </c>
      <c r="J49" s="26">
        <f>117205.43</f>
        <v>117205.43</v>
      </c>
      <c r="K49" s="26">
        <f>0</f>
        <v>0</v>
      </c>
      <c r="L49" s="26">
        <f>118896472.04</f>
        <v>118896472.04000001</v>
      </c>
      <c r="M49" s="26">
        <f>169615789.74</f>
        <v>169615789.74000001</v>
      </c>
      <c r="N49" s="26">
        <f>18365140</f>
        <v>18365140</v>
      </c>
      <c r="O49" s="15">
        <f>3883.66</f>
        <v>3883.66</v>
      </c>
      <c r="P49" s="15">
        <f>3883.66</f>
        <v>3883.66</v>
      </c>
      <c r="Q49" s="15">
        <f>0</f>
        <v>0</v>
      </c>
    </row>
    <row r="50" spans="1:17" ht="24.75" customHeight="1" x14ac:dyDescent="0.2">
      <c r="A50" s="34" t="s">
        <v>43</v>
      </c>
      <c r="B50" s="35">
        <f>34290310143.11</f>
        <v>34290310143.110001</v>
      </c>
      <c r="C50" s="35">
        <f>34290310143.11</f>
        <v>34290310143.110001</v>
      </c>
      <c r="D50" s="35">
        <f>18368124.1</f>
        <v>18368124.100000001</v>
      </c>
      <c r="E50" s="35">
        <f>9385473.18</f>
        <v>9385473.1799999997</v>
      </c>
      <c r="F50" s="35">
        <f>12374.58</f>
        <v>12374.58</v>
      </c>
      <c r="G50" s="35">
        <f>8970276.34</f>
        <v>8970276.3399999999</v>
      </c>
      <c r="H50" s="35">
        <f>0</f>
        <v>0</v>
      </c>
      <c r="I50" s="35">
        <f>8482468.57</f>
        <v>8482468.5700000003</v>
      </c>
      <c r="J50" s="35">
        <f>34255782388.35</f>
        <v>34255782388.349998</v>
      </c>
      <c r="K50" s="35">
        <f>88263.13</f>
        <v>88263.13</v>
      </c>
      <c r="L50" s="35">
        <f>7473420.93</f>
        <v>7473420.9299999997</v>
      </c>
      <c r="M50" s="35">
        <f>115478.03</f>
        <v>115478.03</v>
      </c>
      <c r="N50" s="35">
        <f>0</f>
        <v>0</v>
      </c>
      <c r="O50" s="35">
        <f>0</f>
        <v>0</v>
      </c>
      <c r="P50" s="35">
        <f>0</f>
        <v>0</v>
      </c>
      <c r="Q50" s="35">
        <f>0</f>
        <v>0</v>
      </c>
    </row>
    <row r="51" spans="1:17" ht="24.75" customHeight="1" x14ac:dyDescent="0.2">
      <c r="A51" s="23" t="s">
        <v>33</v>
      </c>
      <c r="B51" s="26">
        <f>8914758.48</f>
        <v>8914758.4800000004</v>
      </c>
      <c r="C51" s="26">
        <f>8914758.48</f>
        <v>8914758.4800000004</v>
      </c>
      <c r="D51" s="26">
        <f>8904758.48</f>
        <v>8904758.4800000004</v>
      </c>
      <c r="E51" s="26">
        <f>0</f>
        <v>0</v>
      </c>
      <c r="F51" s="26">
        <f>0</f>
        <v>0</v>
      </c>
      <c r="G51" s="26">
        <f>8904758.48</f>
        <v>8904758.4800000004</v>
      </c>
      <c r="H51" s="26">
        <f>0</f>
        <v>0</v>
      </c>
      <c r="I51" s="26">
        <f>0</f>
        <v>0</v>
      </c>
      <c r="J51" s="26">
        <f>10000</f>
        <v>10000</v>
      </c>
      <c r="K51" s="26">
        <f>0</f>
        <v>0</v>
      </c>
      <c r="L51" s="26">
        <f>0</f>
        <v>0</v>
      </c>
      <c r="M51" s="26">
        <f>0</f>
        <v>0</v>
      </c>
      <c r="N51" s="26">
        <f>0</f>
        <v>0</v>
      </c>
      <c r="O51" s="15">
        <f>0</f>
        <v>0</v>
      </c>
      <c r="P51" s="15">
        <f>0</f>
        <v>0</v>
      </c>
      <c r="Q51" s="15">
        <f>0</f>
        <v>0</v>
      </c>
    </row>
    <row r="52" spans="1:17" ht="24.75" customHeight="1" x14ac:dyDescent="0.2">
      <c r="A52" s="23" t="s">
        <v>34</v>
      </c>
      <c r="B52" s="26">
        <f>28261904996.8</f>
        <v>28261904996.799999</v>
      </c>
      <c r="C52" s="26">
        <f>28261904996.8</f>
        <v>28261904996.799999</v>
      </c>
      <c r="D52" s="26">
        <f>9295732.66</f>
        <v>9295732.6600000001</v>
      </c>
      <c r="E52" s="26">
        <f>9280250</f>
        <v>9280250</v>
      </c>
      <c r="F52" s="26">
        <f>6750</f>
        <v>6750</v>
      </c>
      <c r="G52" s="26">
        <f>8732.66</f>
        <v>8732.66</v>
      </c>
      <c r="H52" s="26">
        <f>0</f>
        <v>0</v>
      </c>
      <c r="I52" s="26">
        <f>8482468.57</f>
        <v>8482468.5700000003</v>
      </c>
      <c r="J52" s="26">
        <f>28236853259.65</f>
        <v>28236853259.650002</v>
      </c>
      <c r="K52" s="26">
        <f>85414.1</f>
        <v>85414.1</v>
      </c>
      <c r="L52" s="26">
        <f>7187931.82</f>
        <v>7187931.8200000003</v>
      </c>
      <c r="M52" s="26">
        <f>190</f>
        <v>190</v>
      </c>
      <c r="N52" s="26">
        <f>0</f>
        <v>0</v>
      </c>
      <c r="O52" s="15">
        <f>0</f>
        <v>0</v>
      </c>
      <c r="P52" s="15">
        <f>0</f>
        <v>0</v>
      </c>
      <c r="Q52" s="15">
        <f>0</f>
        <v>0</v>
      </c>
    </row>
    <row r="53" spans="1:17" ht="24.75" customHeight="1" x14ac:dyDescent="0.2">
      <c r="A53" s="23" t="s">
        <v>35</v>
      </c>
      <c r="B53" s="26">
        <f>6019490387.83</f>
        <v>6019490387.8299999</v>
      </c>
      <c r="C53" s="26">
        <f>6019490387.83</f>
        <v>6019490387.8299999</v>
      </c>
      <c r="D53" s="26">
        <f>167632.96</f>
        <v>167632.95999999999</v>
      </c>
      <c r="E53" s="26">
        <f>105223.18</f>
        <v>105223.18</v>
      </c>
      <c r="F53" s="26">
        <f>5624.58</f>
        <v>5624.58</v>
      </c>
      <c r="G53" s="26">
        <f>56785.2</f>
        <v>56785.2</v>
      </c>
      <c r="H53" s="26">
        <f>0</f>
        <v>0</v>
      </c>
      <c r="I53" s="26">
        <f>0</f>
        <v>0</v>
      </c>
      <c r="J53" s="26">
        <f>6018919128.7</f>
        <v>6018919128.6999998</v>
      </c>
      <c r="K53" s="26">
        <f>2849.03</f>
        <v>2849.03</v>
      </c>
      <c r="L53" s="26">
        <f>285489.11</f>
        <v>285489.11</v>
      </c>
      <c r="M53" s="26">
        <f>115288.03</f>
        <v>115288.03</v>
      </c>
      <c r="N53" s="26">
        <f>0</f>
        <v>0</v>
      </c>
      <c r="O53" s="15">
        <f>0</f>
        <v>0</v>
      </c>
      <c r="P53" s="15">
        <f>0</f>
        <v>0</v>
      </c>
      <c r="Q53" s="15">
        <f>0</f>
        <v>0</v>
      </c>
    </row>
    <row r="54" spans="1:17" ht="24.75" customHeight="1" x14ac:dyDescent="0.2">
      <c r="A54" s="34" t="s">
        <v>44</v>
      </c>
      <c r="B54" s="35">
        <f>9870887429.5</f>
        <v>9870887429.5</v>
      </c>
      <c r="C54" s="35">
        <f>9845719116.79</f>
        <v>9845719116.7900009</v>
      </c>
      <c r="D54" s="35">
        <f>123040414.01</f>
        <v>123040414.01000001</v>
      </c>
      <c r="E54" s="35">
        <f>81195819.43</f>
        <v>81195819.430000007</v>
      </c>
      <c r="F54" s="35">
        <f>2636183.89</f>
        <v>2636183.89</v>
      </c>
      <c r="G54" s="35">
        <f>38921133.21</f>
        <v>38921133.210000001</v>
      </c>
      <c r="H54" s="35">
        <f>287277.48</f>
        <v>287277.48</v>
      </c>
      <c r="I54" s="35">
        <f>0</f>
        <v>0</v>
      </c>
      <c r="J54" s="35">
        <f>6732970.09</f>
        <v>6732970.0899999999</v>
      </c>
      <c r="K54" s="35">
        <f>17282666.28</f>
        <v>17282666.280000001</v>
      </c>
      <c r="L54" s="35">
        <f>2176609609.94</f>
        <v>2176609609.9400001</v>
      </c>
      <c r="M54" s="35">
        <f>7450753039.25</f>
        <v>7450753039.25</v>
      </c>
      <c r="N54" s="35">
        <f>71300417.22</f>
        <v>71300417.219999999</v>
      </c>
      <c r="O54" s="35">
        <f>25168312.71</f>
        <v>25168312.710000001</v>
      </c>
      <c r="P54" s="35">
        <f>17211295.9</f>
        <v>17211295.899999999</v>
      </c>
      <c r="Q54" s="35">
        <f>7957016.81</f>
        <v>7957016.8099999996</v>
      </c>
    </row>
    <row r="55" spans="1:17" ht="24.75" customHeight="1" x14ac:dyDescent="0.2">
      <c r="A55" s="22" t="s">
        <v>36</v>
      </c>
      <c r="B55" s="26">
        <f>1234926226.35</f>
        <v>1234926226.3499999</v>
      </c>
      <c r="C55" s="26">
        <f>1234529965.43</f>
        <v>1234529965.4300001</v>
      </c>
      <c r="D55" s="26">
        <f>4793238.82</f>
        <v>4793238.82</v>
      </c>
      <c r="E55" s="26">
        <f>1356028.4</f>
        <v>1356028.4</v>
      </c>
      <c r="F55" s="26">
        <f>129436.02</f>
        <v>129436.02</v>
      </c>
      <c r="G55" s="26">
        <f>3201004.77</f>
        <v>3201004.77</v>
      </c>
      <c r="H55" s="26">
        <f>106769.63</f>
        <v>106769.63</v>
      </c>
      <c r="I55" s="26">
        <f>0</f>
        <v>0</v>
      </c>
      <c r="J55" s="26">
        <f>34016.24</f>
        <v>34016.239999999998</v>
      </c>
      <c r="K55" s="26">
        <f>1318585.09</f>
        <v>1318585.0900000001</v>
      </c>
      <c r="L55" s="26">
        <f>193619944.43</f>
        <v>193619944.43000001</v>
      </c>
      <c r="M55" s="26">
        <f>1002293251.92</f>
        <v>1002293251.92</v>
      </c>
      <c r="N55" s="26">
        <f>32470928.93</f>
        <v>32470928.93</v>
      </c>
      <c r="O55" s="15">
        <f>396260.92</f>
        <v>396260.92</v>
      </c>
      <c r="P55" s="15">
        <f>270032.86</f>
        <v>270032.86</v>
      </c>
      <c r="Q55" s="15">
        <f>126228.06</f>
        <v>126228.06</v>
      </c>
    </row>
    <row r="56" spans="1:17" ht="24.75" customHeight="1" x14ac:dyDescent="0.2">
      <c r="A56" s="23" t="s">
        <v>37</v>
      </c>
      <c r="B56" s="26">
        <f>8635961203.15</f>
        <v>8635961203.1499996</v>
      </c>
      <c r="C56" s="26">
        <f>8611189151.36</f>
        <v>8611189151.3600006</v>
      </c>
      <c r="D56" s="26">
        <f>118247175.19</f>
        <v>118247175.19</v>
      </c>
      <c r="E56" s="26">
        <f>79839791.03</f>
        <v>79839791.030000001</v>
      </c>
      <c r="F56" s="26">
        <f>2506747.87</f>
        <v>2506747.87</v>
      </c>
      <c r="G56" s="26">
        <f>35720128.44</f>
        <v>35720128.439999998</v>
      </c>
      <c r="H56" s="26">
        <f>180507.85</f>
        <v>180507.85</v>
      </c>
      <c r="I56" s="26">
        <f>0</f>
        <v>0</v>
      </c>
      <c r="J56" s="26">
        <f>6698953.85</f>
        <v>6698953.8499999996</v>
      </c>
      <c r="K56" s="26">
        <f>15964081.19</f>
        <v>15964081.189999999</v>
      </c>
      <c r="L56" s="26">
        <f>1982989665.51</f>
        <v>1982989665.51</v>
      </c>
      <c r="M56" s="26">
        <f>6448459787.33</f>
        <v>6448459787.3299999</v>
      </c>
      <c r="N56" s="26">
        <f>38829488.29</f>
        <v>38829488.289999999</v>
      </c>
      <c r="O56" s="15">
        <f>24772051.79</f>
        <v>24772051.789999999</v>
      </c>
      <c r="P56" s="15">
        <f>16941263.04</f>
        <v>16941263.039999999</v>
      </c>
      <c r="Q56" s="15">
        <f>7830788.75</f>
        <v>7830788.75</v>
      </c>
    </row>
    <row r="57" spans="1:17" ht="24.75" customHeight="1" x14ac:dyDescent="0.2">
      <c r="A57" s="34" t="s">
        <v>45</v>
      </c>
      <c r="B57" s="35">
        <f>19073633743.48</f>
        <v>19073633743.48</v>
      </c>
      <c r="C57" s="35">
        <f>19071655040.36</f>
        <v>19071655040.360001</v>
      </c>
      <c r="D57" s="35">
        <f>732904576.1</f>
        <v>732904576.10000002</v>
      </c>
      <c r="E57" s="35">
        <f>346447804.9</f>
        <v>346447804.89999998</v>
      </c>
      <c r="F57" s="35">
        <f>60924736.92</f>
        <v>60924736.920000002</v>
      </c>
      <c r="G57" s="35">
        <f>320203433.74</f>
        <v>320203433.74000001</v>
      </c>
      <c r="H57" s="35">
        <f>5328600.54</f>
        <v>5328600.54</v>
      </c>
      <c r="I57" s="35">
        <f>337275</f>
        <v>337275</v>
      </c>
      <c r="J57" s="35">
        <f>20872365.66</f>
        <v>20872365.66</v>
      </c>
      <c r="K57" s="35">
        <f>37164362.93</f>
        <v>37164362.93</v>
      </c>
      <c r="L57" s="35">
        <f>10010617609.59</f>
        <v>10010617609.59</v>
      </c>
      <c r="M57" s="35">
        <f>8119154456.04</f>
        <v>8119154456.04</v>
      </c>
      <c r="N57" s="35">
        <f>150604395.04</f>
        <v>150604395.03999999</v>
      </c>
      <c r="O57" s="35">
        <f>1978703.12</f>
        <v>1978703.12</v>
      </c>
      <c r="P57" s="35">
        <f>1503505.42</f>
        <v>1503505.42</v>
      </c>
      <c r="Q57" s="35">
        <f>475197.7</f>
        <v>475197.7</v>
      </c>
    </row>
    <row r="58" spans="1:17" ht="30" customHeight="1" x14ac:dyDescent="0.2">
      <c r="A58" s="22" t="s">
        <v>38</v>
      </c>
      <c r="B58" s="26">
        <f>987731328.93</f>
        <v>987731328.92999995</v>
      </c>
      <c r="C58" s="26">
        <f>987550865.91</f>
        <v>987550865.90999997</v>
      </c>
      <c r="D58" s="26">
        <f>52389603.76</f>
        <v>52389603.759999998</v>
      </c>
      <c r="E58" s="26">
        <f>4762034.96</f>
        <v>4762034.96</v>
      </c>
      <c r="F58" s="26">
        <f>3532040.84</f>
        <v>3532040.84</v>
      </c>
      <c r="G58" s="26">
        <f>43575932.21</f>
        <v>43575932.210000001</v>
      </c>
      <c r="H58" s="26">
        <f>519595.75</f>
        <v>519595.75</v>
      </c>
      <c r="I58" s="26">
        <f>0</f>
        <v>0</v>
      </c>
      <c r="J58" s="26">
        <f>1263130.25</f>
        <v>1263130.25</v>
      </c>
      <c r="K58" s="26">
        <f>2987971.76</f>
        <v>2987971.76</v>
      </c>
      <c r="L58" s="26">
        <f>322402276.52</f>
        <v>322402276.51999998</v>
      </c>
      <c r="M58" s="26">
        <f>597629335.66</f>
        <v>597629335.65999997</v>
      </c>
      <c r="N58" s="26">
        <f>10878547.96</f>
        <v>10878547.960000001</v>
      </c>
      <c r="O58" s="15">
        <f>180463.02</f>
        <v>180463.02</v>
      </c>
      <c r="P58" s="15">
        <f>138275.96</f>
        <v>138275.96</v>
      </c>
      <c r="Q58" s="15">
        <f>42187.06</f>
        <v>42187.06</v>
      </c>
    </row>
    <row r="59" spans="1:17" ht="36" x14ac:dyDescent="0.2">
      <c r="A59" s="22" t="s">
        <v>39</v>
      </c>
      <c r="B59" s="26">
        <f>12339510424.42</f>
        <v>12339510424.42</v>
      </c>
      <c r="C59" s="26">
        <f>12337882812.58</f>
        <v>12337882812.58</v>
      </c>
      <c r="D59" s="26">
        <f>348852779.55</f>
        <v>348852779.55000001</v>
      </c>
      <c r="E59" s="26">
        <f>162294398.11</f>
        <v>162294398.11000001</v>
      </c>
      <c r="F59" s="26">
        <f>39592115.53</f>
        <v>39592115.530000001</v>
      </c>
      <c r="G59" s="26">
        <f>143593429.03</f>
        <v>143593429.03</v>
      </c>
      <c r="H59" s="26">
        <f>3372836.88</f>
        <v>3372836.88</v>
      </c>
      <c r="I59" s="26">
        <f>337275</f>
        <v>337275</v>
      </c>
      <c r="J59" s="26">
        <f>18036033.27</f>
        <v>18036033.27</v>
      </c>
      <c r="K59" s="26">
        <f>29580880.23</f>
        <v>29580880.23</v>
      </c>
      <c r="L59" s="26">
        <f>7753381341.91</f>
        <v>7753381341.9099998</v>
      </c>
      <c r="M59" s="26">
        <f>4140093599.63</f>
        <v>4140093599.6300001</v>
      </c>
      <c r="N59" s="26">
        <f>47600902.99</f>
        <v>47600902.990000002</v>
      </c>
      <c r="O59" s="15">
        <f>1627611.84</f>
        <v>1627611.84</v>
      </c>
      <c r="P59" s="15">
        <f>1337967.36</f>
        <v>1337967.3600000001</v>
      </c>
      <c r="Q59" s="15">
        <f>289644.48</f>
        <v>289644.48</v>
      </c>
    </row>
    <row r="60" spans="1:17" ht="30.75" customHeight="1" x14ac:dyDescent="0.2">
      <c r="A60" s="22" t="s">
        <v>40</v>
      </c>
      <c r="B60" s="26">
        <f>5746391990.13</f>
        <v>5746391990.1300001</v>
      </c>
      <c r="C60" s="26">
        <f>5746221361.87</f>
        <v>5746221361.8699999</v>
      </c>
      <c r="D60" s="26">
        <f>331662192.79</f>
        <v>331662192.79000002</v>
      </c>
      <c r="E60" s="26">
        <f>179391371.83</f>
        <v>179391371.83000001</v>
      </c>
      <c r="F60" s="26">
        <f>17800580.55</f>
        <v>17800580.550000001</v>
      </c>
      <c r="G60" s="26">
        <f>133034072.5</f>
        <v>133034072.5</v>
      </c>
      <c r="H60" s="26">
        <f>1436167.91</f>
        <v>1436167.91</v>
      </c>
      <c r="I60" s="26">
        <f>0</f>
        <v>0</v>
      </c>
      <c r="J60" s="26">
        <f>1573202.14</f>
        <v>1573202.14</v>
      </c>
      <c r="K60" s="26">
        <f>4595510.94</f>
        <v>4595510.9400000004</v>
      </c>
      <c r="L60" s="26">
        <f>1934833991.16</f>
        <v>1934833991.1600001</v>
      </c>
      <c r="M60" s="26">
        <f>3381431520.75</f>
        <v>3381431520.75</v>
      </c>
      <c r="N60" s="26">
        <f>92124944.09</f>
        <v>92124944.090000004</v>
      </c>
      <c r="O60" s="15">
        <f>170628.26</f>
        <v>170628.26</v>
      </c>
      <c r="P60" s="15">
        <f>27262.1</f>
        <v>27262.1</v>
      </c>
      <c r="Q60" s="15">
        <f>143366.16</f>
        <v>143366.16</v>
      </c>
    </row>
    <row r="77" spans="1:13" ht="75" customHeight="1" x14ac:dyDescent="0.2">
      <c r="A77" s="51" t="str">
        <f>CONCATENATE("Informacja z wykonania budżetów gmin za ",$C$104," ",$B$105," roku   ",$B$107,"")</f>
        <v xml:space="preserve">Informacja z wykonania budżetów gmin za I Kwartał 2022 roku   </v>
      </c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</row>
    <row r="78" spans="1:13" ht="13.5" customHeight="1" x14ac:dyDescent="0.2">
      <c r="B78" s="55" t="s">
        <v>2</v>
      </c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</row>
    <row r="80" spans="1:13" ht="13.5" customHeight="1" x14ac:dyDescent="0.2">
      <c r="B80" s="80" t="s">
        <v>0</v>
      </c>
      <c r="C80" s="81"/>
      <c r="D80" s="81"/>
      <c r="E80" s="82"/>
      <c r="F80" s="90" t="s">
        <v>72</v>
      </c>
      <c r="G80" s="62" t="s">
        <v>78</v>
      </c>
      <c r="H80" s="63"/>
      <c r="I80" s="63"/>
      <c r="J80" s="63"/>
      <c r="K80" s="63"/>
      <c r="L80" s="64"/>
    </row>
    <row r="81" spans="1:13" ht="13.5" customHeight="1" x14ac:dyDescent="0.2">
      <c r="B81" s="83"/>
      <c r="C81" s="84"/>
      <c r="D81" s="84"/>
      <c r="E81" s="85"/>
      <c r="F81" s="91"/>
      <c r="G81" s="93" t="s">
        <v>73</v>
      </c>
      <c r="H81" s="46" t="s">
        <v>70</v>
      </c>
      <c r="I81" s="46" t="s">
        <v>71</v>
      </c>
      <c r="J81" s="46" t="s">
        <v>74</v>
      </c>
      <c r="K81" s="46" t="s">
        <v>75</v>
      </c>
      <c r="L81" s="94" t="s">
        <v>76</v>
      </c>
    </row>
    <row r="82" spans="1:13" ht="13.5" customHeight="1" x14ac:dyDescent="0.2">
      <c r="B82" s="83"/>
      <c r="C82" s="84"/>
      <c r="D82" s="84"/>
      <c r="E82" s="85"/>
      <c r="F82" s="91"/>
      <c r="G82" s="93"/>
      <c r="H82" s="46"/>
      <c r="I82" s="46"/>
      <c r="J82" s="46"/>
      <c r="K82" s="46"/>
      <c r="L82" s="94"/>
    </row>
    <row r="83" spans="1:13" ht="11.25" customHeight="1" x14ac:dyDescent="0.2">
      <c r="B83" s="83"/>
      <c r="C83" s="84"/>
      <c r="D83" s="84"/>
      <c r="E83" s="85"/>
      <c r="F83" s="91"/>
      <c r="G83" s="93"/>
      <c r="H83" s="46"/>
      <c r="I83" s="46"/>
      <c r="J83" s="46"/>
      <c r="K83" s="46"/>
      <c r="L83" s="94"/>
    </row>
    <row r="84" spans="1:13" ht="11.25" customHeight="1" x14ac:dyDescent="0.2">
      <c r="B84" s="86"/>
      <c r="C84" s="87"/>
      <c r="D84" s="87"/>
      <c r="E84" s="88"/>
      <c r="F84" s="92"/>
      <c r="G84" s="93"/>
      <c r="H84" s="46"/>
      <c r="I84" s="46"/>
      <c r="J84" s="46"/>
      <c r="K84" s="46"/>
      <c r="L84" s="94"/>
    </row>
    <row r="85" spans="1:13" ht="11.25" customHeight="1" x14ac:dyDescent="0.2">
      <c r="B85" s="46">
        <v>1</v>
      </c>
      <c r="C85" s="46"/>
      <c r="D85" s="46"/>
      <c r="E85" s="46"/>
      <c r="F85" s="3">
        <v>2</v>
      </c>
      <c r="G85" s="3">
        <v>3</v>
      </c>
      <c r="H85" s="3">
        <v>4</v>
      </c>
      <c r="I85" s="3">
        <v>5</v>
      </c>
      <c r="J85" s="3">
        <v>6</v>
      </c>
      <c r="K85" s="3">
        <v>7</v>
      </c>
      <c r="L85" s="13">
        <v>8</v>
      </c>
    </row>
    <row r="86" spans="1:13" ht="13.5" customHeight="1" x14ac:dyDescent="0.2">
      <c r="B86" s="46"/>
      <c r="C86" s="46"/>
      <c r="D86" s="46"/>
      <c r="E86" s="46"/>
      <c r="F86" s="62" t="s">
        <v>80</v>
      </c>
      <c r="G86" s="38"/>
      <c r="H86" s="38"/>
      <c r="I86" s="38"/>
      <c r="J86" s="38"/>
      <c r="K86" s="38"/>
      <c r="L86" s="39"/>
    </row>
    <row r="87" spans="1:13" ht="33.75" customHeight="1" x14ac:dyDescent="0.2">
      <c r="B87" s="73" t="s">
        <v>57</v>
      </c>
      <c r="C87" s="74"/>
      <c r="D87" s="74"/>
      <c r="E87" s="75"/>
      <c r="F87" s="33">
        <f>999668307.33</f>
        <v>999668307.33000004</v>
      </c>
      <c r="G87" s="33">
        <f>398134131.99</f>
        <v>398134131.99000001</v>
      </c>
      <c r="H87" s="33">
        <f>27285773.28</f>
        <v>27285773.280000001</v>
      </c>
      <c r="I87" s="33">
        <f>145437144.15</f>
        <v>145437144.15000001</v>
      </c>
      <c r="J87" s="33">
        <f>220631768.31</f>
        <v>220631768.31</v>
      </c>
      <c r="K87" s="33">
        <f>4779446.25</f>
        <v>4779446.25</v>
      </c>
      <c r="L87" s="33">
        <f>601534175.34</f>
        <v>601534175.34000003</v>
      </c>
    </row>
    <row r="88" spans="1:13" ht="33.75" customHeight="1" x14ac:dyDescent="0.2">
      <c r="B88" s="73" t="s">
        <v>58</v>
      </c>
      <c r="C88" s="74"/>
      <c r="D88" s="74"/>
      <c r="E88" s="75"/>
      <c r="F88" s="33">
        <f>994752</f>
        <v>994752</v>
      </c>
      <c r="G88" s="33">
        <f>994752</f>
        <v>994752</v>
      </c>
      <c r="H88" s="33">
        <f>0</f>
        <v>0</v>
      </c>
      <c r="I88" s="33">
        <f>0</f>
        <v>0</v>
      </c>
      <c r="J88" s="33">
        <f>994752</f>
        <v>994752</v>
      </c>
      <c r="K88" s="33">
        <f>0</f>
        <v>0</v>
      </c>
      <c r="L88" s="33">
        <f>0</f>
        <v>0</v>
      </c>
    </row>
    <row r="89" spans="1:13" ht="33.75" customHeight="1" x14ac:dyDescent="0.2">
      <c r="B89" s="73" t="s">
        <v>59</v>
      </c>
      <c r="C89" s="74"/>
      <c r="D89" s="74"/>
      <c r="E89" s="75"/>
      <c r="F89" s="33">
        <f>9768608.75</f>
        <v>9768608.75</v>
      </c>
      <c r="G89" s="33">
        <f>2713477.04</f>
        <v>2713477.04</v>
      </c>
      <c r="H89" s="33">
        <f>200000</f>
        <v>200000</v>
      </c>
      <c r="I89" s="33">
        <f>0</f>
        <v>0</v>
      </c>
      <c r="J89" s="33">
        <f>2403891</f>
        <v>2403891</v>
      </c>
      <c r="K89" s="33">
        <f>109586.04</f>
        <v>109586.04</v>
      </c>
      <c r="L89" s="33">
        <f>7055131.71</f>
        <v>7055131.71</v>
      </c>
    </row>
    <row r="90" spans="1:13" ht="22.5" customHeight="1" x14ac:dyDescent="0.2">
      <c r="B90" s="73" t="s">
        <v>60</v>
      </c>
      <c r="C90" s="74"/>
      <c r="D90" s="74"/>
      <c r="E90" s="75"/>
      <c r="F90" s="33">
        <f>12813108</f>
        <v>12813108</v>
      </c>
      <c r="G90" s="33">
        <f>0</f>
        <v>0</v>
      </c>
      <c r="H90" s="33">
        <f>0</f>
        <v>0</v>
      </c>
      <c r="I90" s="33">
        <f>0</f>
        <v>0</v>
      </c>
      <c r="J90" s="33">
        <f>0</f>
        <v>0</v>
      </c>
      <c r="K90" s="33">
        <f>0</f>
        <v>0</v>
      </c>
      <c r="L90" s="33">
        <f>12813108</f>
        <v>12813108</v>
      </c>
    </row>
    <row r="91" spans="1:13" ht="33.75" customHeight="1" x14ac:dyDescent="0.2">
      <c r="B91" s="73" t="s">
        <v>61</v>
      </c>
      <c r="C91" s="74"/>
      <c r="D91" s="74"/>
      <c r="E91" s="75"/>
      <c r="F91" s="33">
        <f>63449.14</f>
        <v>63449.14</v>
      </c>
      <c r="G91" s="33">
        <f>1</f>
        <v>1</v>
      </c>
      <c r="H91" s="33">
        <f>0</f>
        <v>0</v>
      </c>
      <c r="I91" s="33">
        <f>1</f>
        <v>1</v>
      </c>
      <c r="J91" s="33">
        <f>0</f>
        <v>0</v>
      </c>
      <c r="K91" s="33">
        <f>0</f>
        <v>0</v>
      </c>
      <c r="L91" s="33">
        <f>63448.14</f>
        <v>63448.14</v>
      </c>
    </row>
    <row r="92" spans="1:13" ht="33.75" customHeight="1" x14ac:dyDescent="0.2">
      <c r="B92" s="73" t="s">
        <v>62</v>
      </c>
      <c r="C92" s="74"/>
      <c r="D92" s="74"/>
      <c r="E92" s="75"/>
      <c r="F92" s="33">
        <f>651935.2</f>
        <v>651935.19999999995</v>
      </c>
      <c r="G92" s="33">
        <f>0</f>
        <v>0</v>
      </c>
      <c r="H92" s="33">
        <f>0</f>
        <v>0</v>
      </c>
      <c r="I92" s="33">
        <f>0</f>
        <v>0</v>
      </c>
      <c r="J92" s="33">
        <f>0</f>
        <v>0</v>
      </c>
      <c r="K92" s="33">
        <f>0</f>
        <v>0</v>
      </c>
      <c r="L92" s="33">
        <f>651935.2</f>
        <v>651935.19999999995</v>
      </c>
    </row>
    <row r="93" spans="1:13" ht="22.5" customHeight="1" x14ac:dyDescent="0.2">
      <c r="B93" s="73" t="s">
        <v>63</v>
      </c>
      <c r="C93" s="74"/>
      <c r="D93" s="74"/>
      <c r="E93" s="75"/>
      <c r="F93" s="33">
        <f>45000</f>
        <v>45000</v>
      </c>
      <c r="G93" s="33">
        <f>0</f>
        <v>0</v>
      </c>
      <c r="H93" s="33">
        <f>0</f>
        <v>0</v>
      </c>
      <c r="I93" s="33">
        <f>0</f>
        <v>0</v>
      </c>
      <c r="J93" s="33">
        <f>0</f>
        <v>0</v>
      </c>
      <c r="K93" s="33">
        <f>0</f>
        <v>0</v>
      </c>
      <c r="L93" s="33">
        <f>45000</f>
        <v>45000</v>
      </c>
    </row>
    <row r="96" spans="1:13" ht="75" customHeight="1" x14ac:dyDescent="0.2">
      <c r="A96" s="51" t="str">
        <f>CONCATENATE("Informacja z wykonania budżetów gmin za ",$C$104," ",$B$105," roku   ",$B$107,"")</f>
        <v xml:space="preserve">Informacja z wykonania budżetów gmin za I Kwartał 2022 roku   </v>
      </c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</row>
    <row r="97" spans="1:11" ht="13.5" customHeight="1" x14ac:dyDescent="0.2">
      <c r="B97" s="4"/>
    </row>
    <row r="98" spans="1:11" ht="13.5" customHeight="1" x14ac:dyDescent="0.2">
      <c r="B98" s="5"/>
      <c r="C98" s="62"/>
      <c r="D98" s="63"/>
      <c r="E98" s="63"/>
      <c r="F98" s="64"/>
      <c r="G98" s="62" t="s">
        <v>3</v>
      </c>
      <c r="H98" s="64"/>
      <c r="I98" s="62" t="s">
        <v>4</v>
      </c>
      <c r="J98" s="64"/>
      <c r="K98" s="5"/>
    </row>
    <row r="99" spans="1:11" ht="13.5" customHeight="1" x14ac:dyDescent="0.2">
      <c r="B99" s="6"/>
      <c r="C99" s="70" t="s">
        <v>5</v>
      </c>
      <c r="D99" s="71"/>
      <c r="E99" s="71"/>
      <c r="F99" s="72"/>
      <c r="G99" s="66">
        <f>2248</f>
        <v>2248</v>
      </c>
      <c r="H99" s="67"/>
      <c r="I99" s="68">
        <f>7197622392.72999</f>
        <v>7197622392.72999</v>
      </c>
      <c r="J99" s="69"/>
      <c r="K99" s="7"/>
    </row>
    <row r="100" spans="1:11" ht="13.5" customHeight="1" x14ac:dyDescent="0.2">
      <c r="B100" s="6"/>
      <c r="C100" s="73" t="s">
        <v>6</v>
      </c>
      <c r="D100" s="74"/>
      <c r="E100" s="74"/>
      <c r="F100" s="75"/>
      <c r="G100" s="76">
        <f>163</f>
        <v>163</v>
      </c>
      <c r="H100" s="77"/>
      <c r="I100" s="78">
        <f>-196445867.59</f>
        <v>-196445867.59</v>
      </c>
      <c r="J100" s="79"/>
      <c r="K100" s="7"/>
    </row>
    <row r="101" spans="1:11" ht="13.5" customHeight="1" x14ac:dyDescent="0.2">
      <c r="B101" s="6"/>
      <c r="C101" s="70" t="s">
        <v>7</v>
      </c>
      <c r="D101" s="71"/>
      <c r="E101" s="71"/>
      <c r="F101" s="72"/>
      <c r="G101" s="66">
        <f>0</f>
        <v>0</v>
      </c>
      <c r="H101" s="67"/>
      <c r="I101" s="68">
        <f>0</f>
        <v>0</v>
      </c>
      <c r="J101" s="69"/>
      <c r="K101" s="7"/>
    </row>
    <row r="104" spans="1:11" ht="13.5" customHeight="1" x14ac:dyDescent="0.2">
      <c r="A104" s="8" t="s">
        <v>8</v>
      </c>
      <c r="B104" s="8">
        <f>1</f>
        <v>1</v>
      </c>
      <c r="C104" s="8" t="str">
        <f>IF(B104=1,"I Kwartał",IF(B104=2,"II Kwartały",IF(B104=3,"III Kwartały",IF(B104=4,"IV Kwartały","-"))))</f>
        <v>I Kwartał</v>
      </c>
    </row>
    <row r="105" spans="1:11" ht="13.5" customHeight="1" x14ac:dyDescent="0.2">
      <c r="A105" s="8" t="s">
        <v>9</v>
      </c>
      <c r="B105" s="8">
        <f>2022</f>
        <v>2022</v>
      </c>
      <c r="C105" s="9"/>
    </row>
    <row r="106" spans="1:11" ht="13.5" customHeight="1" x14ac:dyDescent="0.2">
      <c r="A106" s="8" t="s">
        <v>10</v>
      </c>
      <c r="B106" s="10" t="str">
        <f>"May 19 2022 12:00AM"</f>
        <v>May 19 2022 12:00AM</v>
      </c>
      <c r="C106" s="9"/>
    </row>
    <row r="107" spans="1:11" ht="13.5" customHeight="1" x14ac:dyDescent="0.2">
      <c r="A107" s="16" t="s">
        <v>79</v>
      </c>
      <c r="B107" s="10" t="str">
        <f>""</f>
        <v/>
      </c>
    </row>
  </sheetData>
  <mergeCells count="79">
    <mergeCell ref="O6:Q6"/>
    <mergeCell ref="O7:O10"/>
    <mergeCell ref="A77:M77"/>
    <mergeCell ref="L39:L41"/>
    <mergeCell ref="P39:P41"/>
    <mergeCell ref="Q39:Q41"/>
    <mergeCell ref="B86:E86"/>
    <mergeCell ref="B80:E84"/>
    <mergeCell ref="B93:E93"/>
    <mergeCell ref="A96:M96"/>
    <mergeCell ref="B89:E89"/>
    <mergeCell ref="B90:E90"/>
    <mergeCell ref="B91:E91"/>
    <mergeCell ref="B92:E92"/>
    <mergeCell ref="B88:E88"/>
    <mergeCell ref="B87:E87"/>
    <mergeCell ref="F80:F84"/>
    <mergeCell ref="G81:G84"/>
    <mergeCell ref="B85:E85"/>
    <mergeCell ref="F86:L86"/>
    <mergeCell ref="L81:L84"/>
    <mergeCell ref="G101:H101"/>
    <mergeCell ref="I101:J101"/>
    <mergeCell ref="C98:F98"/>
    <mergeCell ref="C99:F99"/>
    <mergeCell ref="C100:F100"/>
    <mergeCell ref="C101:F101"/>
    <mergeCell ref="G99:H99"/>
    <mergeCell ref="G98:H98"/>
    <mergeCell ref="G100:H100"/>
    <mergeCell ref="I100:J100"/>
    <mergeCell ref="I99:J99"/>
    <mergeCell ref="I98:J98"/>
    <mergeCell ref="A1:M1"/>
    <mergeCell ref="C5:M5"/>
    <mergeCell ref="A3:M3"/>
    <mergeCell ref="K7:K10"/>
    <mergeCell ref="C7:C10"/>
    <mergeCell ref="H7:H10"/>
    <mergeCell ref="I7:I10"/>
    <mergeCell ref="J7:J10"/>
    <mergeCell ref="G80:L80"/>
    <mergeCell ref="H81:H84"/>
    <mergeCell ref="I81:I84"/>
    <mergeCell ref="J81:J84"/>
    <mergeCell ref="B78:M78"/>
    <mergeCell ref="D39:D41"/>
    <mergeCell ref="M39:M41"/>
    <mergeCell ref="B43:Q43"/>
    <mergeCell ref="Q7:Q10"/>
    <mergeCell ref="C38:N38"/>
    <mergeCell ref="L7:L10"/>
    <mergeCell ref="M7:M10"/>
    <mergeCell ref="N7:N10"/>
    <mergeCell ref="P7:P10"/>
    <mergeCell ref="A34:M34"/>
    <mergeCell ref="O38:Q38"/>
    <mergeCell ref="A36:M36"/>
    <mergeCell ref="B6:B10"/>
    <mergeCell ref="A6:A10"/>
    <mergeCell ref="C6:N6"/>
    <mergeCell ref="D7:D10"/>
    <mergeCell ref="E7:E10"/>
    <mergeCell ref="G7:G10"/>
    <mergeCell ref="F7:F10"/>
    <mergeCell ref="B12:Q12"/>
    <mergeCell ref="A38:A41"/>
    <mergeCell ref="C39:C41"/>
    <mergeCell ref="E39:E41"/>
    <mergeCell ref="K81:K84"/>
    <mergeCell ref="F39:F41"/>
    <mergeCell ref="G39:G41"/>
    <mergeCell ref="H39:H41"/>
    <mergeCell ref="K39:K41"/>
    <mergeCell ref="I39:I41"/>
    <mergeCell ref="J39:J41"/>
    <mergeCell ref="B38:B41"/>
    <mergeCell ref="N39:N41"/>
    <mergeCell ref="O39:O41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33" max="16383" man="1"/>
    <brk id="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2016-08-26T11:23:29Z</cp:lastPrinted>
  <dcterms:created xsi:type="dcterms:W3CDTF">2001-05-17T08:58:03Z</dcterms:created>
  <dcterms:modified xsi:type="dcterms:W3CDTF">2022-06-13T19:49:20Z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MF\hhcy;Kołacz Bernard</vt:lpwstr>
  </property>
  <property fmtid="{D5CDD505-2E9C-101B-9397-08002B2CF9AE}" pid="4" name="MFClassificationDate">
    <vt:lpwstr>2022-06-13T21:49:18.3238360+02:00</vt:lpwstr>
  </property>
  <property fmtid="{D5CDD505-2E9C-101B-9397-08002B2CF9AE}" pid="5" name="MFClassifiedBySID">
    <vt:lpwstr>MF\S-1-5-21-1525952054-1005573771-2909822258-435687</vt:lpwstr>
  </property>
  <property fmtid="{D5CDD505-2E9C-101B-9397-08002B2CF9AE}" pid="6" name="MFGRNItemId">
    <vt:lpwstr>GRN-f2e6ba51-9648-4bd6-82bd-93558a047c03</vt:lpwstr>
  </property>
  <property fmtid="{D5CDD505-2E9C-101B-9397-08002B2CF9AE}" pid="7" name="MFHash">
    <vt:lpwstr>r6Axv34REU7t2BuCudkKesd7WesAYdB+o6vDAAC1F30=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