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4BBB47C8-D0A4-4E2B-8501-321AE6B75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27" i="7" l="1"/>
  <c r="A82" i="7"/>
  <c r="A1" i="7"/>
  <c r="A63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<sst xmlns="http://schemas.openxmlformats.org/spreadsheetml/2006/main" count="97" uniqueCount="81">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</sst>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IV Kwartały 2024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7269130353.67</f>
        <v>7269130353.6700001</v>
      </c>
      <c r="C13" s="21">
        <f>7269130353.67</f>
        <v>7269130353.6700001</v>
      </c>
      <c r="D13" s="21">
        <f>262287516.74</f>
        <v>262287516.74000001</v>
      </c>
      <c r="E13" s="21">
        <f>197523937.77</f>
        <v>197523937.77000001</v>
      </c>
      <c r="F13" s="21">
        <f>7096033.55</f>
        <v>7096033.5499999998</v>
      </c>
      <c r="G13" s="21">
        <f>57667545.42</f>
        <v>57667545.420000002</v>
      </c>
      <c r="H13" s="21">
        <f>0</f>
        <v>0</v>
      </c>
      <c r="I13" s="21">
        <f>0</f>
        <v>0</v>
      </c>
      <c r="J13" s="21">
        <f>6636893752.15</f>
        <v>6636893752.1499996</v>
      </c>
      <c r="K13" s="21">
        <f>365291161.66</f>
        <v>365291161.66000003</v>
      </c>
      <c r="L13" s="21">
        <f>2157278.66</f>
        <v>2157278.66</v>
      </c>
      <c r="M13" s="21">
        <f>307985.74</f>
        <v>307985.74</v>
      </c>
      <c r="N13" s="21">
        <f>2192658.72</f>
        <v>2192658.7200000002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9500000</f>
        <v>9500000</v>
      </c>
      <c r="C14" s="21">
        <f>9500000</f>
        <v>9500000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9500000</f>
        <v>9500000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9500000</f>
        <v>9500000</v>
      </c>
      <c r="C16" s="22">
        <f>9500000</f>
        <v>9500000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9500000</f>
        <v>9500000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7243491095.89</f>
        <v>7243491095.8900003</v>
      </c>
      <c r="C17" s="21">
        <f>7243491095.89</f>
        <v>7243491095.8900003</v>
      </c>
      <c r="D17" s="21">
        <f>247220290.26</f>
        <v>247220290.25999999</v>
      </c>
      <c r="E17" s="21">
        <f>197466430.31</f>
        <v>197466430.31</v>
      </c>
      <c r="F17" s="21">
        <f>7096033.55</f>
        <v>7096033.5499999998</v>
      </c>
      <c r="G17" s="21">
        <f>42657826.4</f>
        <v>42657826.399999999</v>
      </c>
      <c r="H17" s="21">
        <f>0</f>
        <v>0</v>
      </c>
      <c r="I17" s="21">
        <f>0</f>
        <v>0</v>
      </c>
      <c r="J17" s="21">
        <f>6627393752.15</f>
        <v>6627393752.1499996</v>
      </c>
      <c r="K17" s="21">
        <f>365291161.66</f>
        <v>365291161.66000003</v>
      </c>
      <c r="L17" s="21">
        <f>1837171.72</f>
        <v>1837171.72</v>
      </c>
      <c r="M17" s="21">
        <f>0</f>
        <v>0</v>
      </c>
      <c r="N17" s="21">
        <f>1748720.1</f>
        <v>1748720.1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6015532</f>
        <v>6015532</v>
      </c>
      <c r="C18" s="22">
        <f>6015532</f>
        <v>6015532</v>
      </c>
      <c r="D18" s="22">
        <f>1545106</f>
        <v>1545106</v>
      </c>
      <c r="E18" s="22">
        <f>1304546</f>
        <v>1304546</v>
      </c>
      <c r="F18" s="22">
        <f>240560</f>
        <v>240560</v>
      </c>
      <c r="G18" s="22">
        <f>0</f>
        <v>0</v>
      </c>
      <c r="H18" s="22">
        <f>0</f>
        <v>0</v>
      </c>
      <c r="I18" s="22">
        <f>0</f>
        <v>0</v>
      </c>
      <c r="J18" s="22">
        <f>4466670</f>
        <v>4466670</v>
      </c>
      <c r="K18" s="22">
        <f>506</f>
        <v>506</v>
      </c>
      <c r="L18" s="22">
        <f>3250</f>
        <v>3250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7237475563.89</f>
        <v>7237475563.8900003</v>
      </c>
      <c r="C19" s="22">
        <f>7237475563.89</f>
        <v>7237475563.8900003</v>
      </c>
      <c r="D19" s="22">
        <f>245675184.26</f>
        <v>245675184.25999999</v>
      </c>
      <c r="E19" s="22">
        <f>196161884.31</f>
        <v>196161884.31</v>
      </c>
      <c r="F19" s="22">
        <f>6855473.55</f>
        <v>6855473.5499999998</v>
      </c>
      <c r="G19" s="22">
        <f>42657826.4</f>
        <v>42657826.399999999</v>
      </c>
      <c r="H19" s="22">
        <f>0</f>
        <v>0</v>
      </c>
      <c r="I19" s="22">
        <f>0</f>
        <v>0</v>
      </c>
      <c r="J19" s="22">
        <f>6622927082.15</f>
        <v>6622927082.1499996</v>
      </c>
      <c r="K19" s="22">
        <f>365290655.66</f>
        <v>365290655.66000003</v>
      </c>
      <c r="L19" s="22">
        <f>1833921.72</f>
        <v>1833921.72</v>
      </c>
      <c r="M19" s="22">
        <f>0</f>
        <v>0</v>
      </c>
      <c r="N19" s="22">
        <f>1748720.1</f>
        <v>1748720.1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15000000</f>
        <v>15000000</v>
      </c>
      <c r="C20" s="22">
        <f>15000000</f>
        <v>15000000</v>
      </c>
      <c r="D20" s="22">
        <f>15000000</f>
        <v>15000000</v>
      </c>
      <c r="E20" s="22">
        <f>0</f>
        <v>0</v>
      </c>
      <c r="F20" s="22">
        <f>0</f>
        <v>0</v>
      </c>
      <c r="G20" s="22">
        <f>15000000</f>
        <v>15000000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1139257.78</f>
        <v>1139257.78</v>
      </c>
      <c r="C21" s="21">
        <f>1139257.78</f>
        <v>1139257.78</v>
      </c>
      <c r="D21" s="21">
        <f>67226.48</f>
        <v>67226.48</v>
      </c>
      <c r="E21" s="21">
        <f>57507.46</f>
        <v>57507.46</v>
      </c>
      <c r="F21" s="21">
        <f>0</f>
        <v>0</v>
      </c>
      <c r="G21" s="21">
        <f>9719.02</f>
        <v>9719.02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320106.94</f>
        <v>320106.94</v>
      </c>
      <c r="M21" s="21">
        <f>307985.74</f>
        <v>307985.74</v>
      </c>
      <c r="N21" s="21">
        <f>443938.62</f>
        <v>443938.62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753614.7</f>
        <v>753614.7</v>
      </c>
      <c r="C22" s="22">
        <f>753614.7</f>
        <v>753614.7</v>
      </c>
      <c r="D22" s="22">
        <f>0</f>
        <v>0</v>
      </c>
      <c r="E22" s="22">
        <f>0</f>
        <v>0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204547.65</f>
        <v>204547.65</v>
      </c>
      <c r="M22" s="22">
        <f>119114.43</f>
        <v>119114.43</v>
      </c>
      <c r="N22" s="22">
        <f>429952.62</f>
        <v>429952.62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385643.08</f>
        <v>385643.08</v>
      </c>
      <c r="C23" s="22">
        <f>385643.08</f>
        <v>385643.08</v>
      </c>
      <c r="D23" s="22">
        <f>67226.48</f>
        <v>67226.48</v>
      </c>
      <c r="E23" s="22">
        <f>57507.46</f>
        <v>57507.46</v>
      </c>
      <c r="F23" s="22">
        <f>0</f>
        <v>0</v>
      </c>
      <c r="G23" s="22">
        <f>9719.02</f>
        <v>9719.02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115559.29</f>
        <v>115559.29</v>
      </c>
      <c r="M23" s="22">
        <f>188871.31</f>
        <v>188871.31</v>
      </c>
      <c r="N23" s="22">
        <f>13986</f>
        <v>13986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IV Kwartały 2024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186113.85</f>
        <v>186113.85</v>
      </c>
      <c r="C38" s="23">
        <f>186113.85</f>
        <v>186113.85</v>
      </c>
      <c r="D38" s="23">
        <f>50000</f>
        <v>50000</v>
      </c>
      <c r="E38" s="23">
        <f>50000</f>
        <v>50000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1471.52</f>
        <v>1471.52</v>
      </c>
      <c r="M38" s="23">
        <f>134642.33</f>
        <v>134642.32999999999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1476.05</f>
        <v>1476.05</v>
      </c>
      <c r="C39" s="24">
        <f>1476.05</f>
        <v>1476.05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1471.52</f>
        <v>1471.52</v>
      </c>
      <c r="M39" s="24">
        <f>4.53</f>
        <v>4.53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184637.8</f>
        <v>184637.8</v>
      </c>
      <c r="C40" s="24">
        <f>184637.8</f>
        <v>184637.8</v>
      </c>
      <c r="D40" s="24">
        <f>50000</f>
        <v>50000</v>
      </c>
      <c r="E40" s="24">
        <f>50000</f>
        <v>50000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134637.8</f>
        <v>134637.79999999999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213060599.37</f>
        <v>213060599.37</v>
      </c>
      <c r="C41" s="23">
        <f>213060599.37</f>
        <v>213060599.37</v>
      </c>
      <c r="D41" s="23">
        <f>154738932.85</f>
        <v>154738932.84999999</v>
      </c>
      <c r="E41" s="23">
        <f>33648.14</f>
        <v>33648.14</v>
      </c>
      <c r="F41" s="23">
        <f>2470.4</f>
        <v>2470.4</v>
      </c>
      <c r="G41" s="23">
        <f>154702814.31</f>
        <v>154702814.31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45989343.3</f>
        <v>45989343.299999997</v>
      </c>
      <c r="M41" s="23">
        <f>11135744.41</f>
        <v>11135744.41</v>
      </c>
      <c r="N41" s="23">
        <f>1196578.81</f>
        <v>1196578.81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29800875.87</f>
        <v>29800875.870000001</v>
      </c>
      <c r="C42" s="24">
        <f>29800875.87</f>
        <v>29800875.870000001</v>
      </c>
      <c r="D42" s="24">
        <f>25621458.98</f>
        <v>25621458.98</v>
      </c>
      <c r="E42" s="24">
        <f>0</f>
        <v>0</v>
      </c>
      <c r="F42" s="24">
        <f>0</f>
        <v>0</v>
      </c>
      <c r="G42" s="24">
        <f>25621458.98</f>
        <v>25621458.98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2829357.89</f>
        <v>2829357.89</v>
      </c>
      <c r="M42" s="24">
        <f>1350059</f>
        <v>1350059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183259723.5</f>
        <v>183259723.5</v>
      </c>
      <c r="C43" s="24">
        <f>183259723.5</f>
        <v>183259723.5</v>
      </c>
      <c r="D43" s="24">
        <f>129117473.87</f>
        <v>129117473.87</v>
      </c>
      <c r="E43" s="24">
        <f>33648.14</f>
        <v>33648.14</v>
      </c>
      <c r="F43" s="24">
        <f>2470.4</f>
        <v>2470.4</v>
      </c>
      <c r="G43" s="24">
        <f>129081355.33</f>
        <v>129081355.33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43159985.41</f>
        <v>43159985.409999996</v>
      </c>
      <c r="M43" s="24">
        <f>9785685.41</f>
        <v>9785685.4100000001</v>
      </c>
      <c r="N43" s="24">
        <f>1196578.81</f>
        <v>1196578.81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7092880281.3</f>
        <v>7092880281.3000002</v>
      </c>
      <c r="C44" s="23">
        <f>7092880281.3</f>
        <v>7092880281.3000002</v>
      </c>
      <c r="D44" s="23">
        <f>97730.91</f>
        <v>97730.91</v>
      </c>
      <c r="E44" s="23">
        <f>5042.62</f>
        <v>5042.62</v>
      </c>
      <c r="F44" s="23">
        <f>2903</f>
        <v>2903</v>
      </c>
      <c r="G44" s="23">
        <f>89785.29</f>
        <v>89785.29</v>
      </c>
      <c r="H44" s="23">
        <f>0</f>
        <v>0</v>
      </c>
      <c r="I44" s="23">
        <f>3500747.12</f>
        <v>3500747.12</v>
      </c>
      <c r="J44" s="23">
        <f>7089099003.63</f>
        <v>7089099003.6300001</v>
      </c>
      <c r="K44" s="23">
        <f>40543.8</f>
        <v>40543.800000000003</v>
      </c>
      <c r="L44" s="23">
        <f>45972.72</f>
        <v>45972.72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67334.89</f>
        <v>67334.89</v>
      </c>
      <c r="C45" s="24">
        <f>67334.89</f>
        <v>67334.89</v>
      </c>
      <c r="D45" s="24">
        <f>67334.89</f>
        <v>67334.89</v>
      </c>
      <c r="E45" s="24">
        <f>0</f>
        <v>0</v>
      </c>
      <c r="F45" s="24">
        <f>0</f>
        <v>0</v>
      </c>
      <c r="G45" s="24">
        <f>67334.89</f>
        <v>67334.89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6869853681.65</f>
        <v>6869853681.6499996</v>
      </c>
      <c r="C46" s="24">
        <f>6869853681.65</f>
        <v>6869853681.6499996</v>
      </c>
      <c r="D46" s="24">
        <f>22288.62</f>
        <v>22288.62</v>
      </c>
      <c r="E46" s="24">
        <f>1013.09</f>
        <v>1013.09</v>
      </c>
      <c r="F46" s="24">
        <f>263</f>
        <v>263</v>
      </c>
      <c r="G46" s="24">
        <f>21012.53</f>
        <v>21012.53</v>
      </c>
      <c r="H46" s="24">
        <f>0</f>
        <v>0</v>
      </c>
      <c r="I46" s="24">
        <f>3500747.12</f>
        <v>3500747.12</v>
      </c>
      <c r="J46" s="24">
        <f>6866191906.89</f>
        <v>6866191906.8900003</v>
      </c>
      <c r="K46" s="24">
        <f>32028.8</f>
        <v>32028.799999999999</v>
      </c>
      <c r="L46" s="24">
        <f>12427.1</f>
        <v>12427.1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222959264.76</f>
        <v>222959264.75999999</v>
      </c>
      <c r="C47" s="24">
        <f>222959264.76</f>
        <v>222959264.75999999</v>
      </c>
      <c r="D47" s="24">
        <f>8107.4</f>
        <v>8107.4</v>
      </c>
      <c r="E47" s="24">
        <f>4029.53</f>
        <v>4029.53</v>
      </c>
      <c r="F47" s="24">
        <f>2640</f>
        <v>2640</v>
      </c>
      <c r="G47" s="24">
        <f>1437.87</f>
        <v>1437.87</v>
      </c>
      <c r="H47" s="24">
        <f>0</f>
        <v>0</v>
      </c>
      <c r="I47" s="24">
        <f>0</f>
        <v>0</v>
      </c>
      <c r="J47" s="24">
        <f>222907096.74</f>
        <v>222907096.74000001</v>
      </c>
      <c r="K47" s="24">
        <f>8515</f>
        <v>8515</v>
      </c>
      <c r="L47" s="24">
        <f>33545.62</f>
        <v>33545.620000000003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866968231.52</f>
        <v>866968231.51999998</v>
      </c>
      <c r="C48" s="23">
        <f>866085329.99</f>
        <v>866085329.99000001</v>
      </c>
      <c r="D48" s="23">
        <f>34383924.46</f>
        <v>34383924.460000001</v>
      </c>
      <c r="E48" s="23">
        <f>10083758.76</f>
        <v>10083758.76</v>
      </c>
      <c r="F48" s="23">
        <f>1311817.07</f>
        <v>1311817.07</v>
      </c>
      <c r="G48" s="23">
        <f>22983914.19</f>
        <v>22983914.190000001</v>
      </c>
      <c r="H48" s="23">
        <f>4434.44</f>
        <v>4434.4399999999996</v>
      </c>
      <c r="I48" s="23">
        <f>0</f>
        <v>0</v>
      </c>
      <c r="J48" s="23">
        <f>3038071</f>
        <v>3038071</v>
      </c>
      <c r="K48" s="23">
        <f>185331.72</f>
        <v>185331.72</v>
      </c>
      <c r="L48" s="23">
        <f>231316624.63</f>
        <v>231316624.63</v>
      </c>
      <c r="M48" s="23">
        <f>592692217.77</f>
        <v>592692217.76999998</v>
      </c>
      <c r="N48" s="23">
        <f>4469160.41</f>
        <v>4469160.41</v>
      </c>
      <c r="O48" s="23">
        <f>882901.53</f>
        <v>882901.53</v>
      </c>
      <c r="P48" s="23">
        <f>301811.47</f>
        <v>301811.46999999997</v>
      </c>
      <c r="Q48" s="23">
        <f>581090.06</f>
        <v>581090.06000000006</v>
      </c>
    </row>
    <row r="49" spans="1:17" ht="25.5" customHeight="1" x14ac:dyDescent="0.2">
      <c r="A49" s="18" t="s">
        <v>36</v>
      </c>
      <c r="B49" s="24">
        <f>183615158.19</f>
        <v>183615158.19</v>
      </c>
      <c r="C49" s="24">
        <f>183582945.28</f>
        <v>183582945.28</v>
      </c>
      <c r="D49" s="24">
        <f>3142712.46</f>
        <v>3142712.46</v>
      </c>
      <c r="E49" s="24">
        <f>39212.94</f>
        <v>39212.94</v>
      </c>
      <c r="F49" s="24">
        <f>468593.41</f>
        <v>468593.41</v>
      </c>
      <c r="G49" s="24">
        <f>2633091.75</f>
        <v>2633091.75</v>
      </c>
      <c r="H49" s="24">
        <f>1814.36</f>
        <v>1814.36</v>
      </c>
      <c r="I49" s="24">
        <f>0</f>
        <v>0</v>
      </c>
      <c r="J49" s="24">
        <f>26775.48</f>
        <v>26775.48</v>
      </c>
      <c r="K49" s="24">
        <f>111955.77</f>
        <v>111955.77</v>
      </c>
      <c r="L49" s="24">
        <f>73568365.95</f>
        <v>73568365.950000003</v>
      </c>
      <c r="M49" s="24">
        <f>105508483.91</f>
        <v>105508483.91</v>
      </c>
      <c r="N49" s="24">
        <f>1224651.71</f>
        <v>1224651.71</v>
      </c>
      <c r="O49" s="24">
        <f>32212.91</f>
        <v>32212.91</v>
      </c>
      <c r="P49" s="24">
        <f>23046.91</f>
        <v>23046.91</v>
      </c>
      <c r="Q49" s="24">
        <f>9166</f>
        <v>9166</v>
      </c>
    </row>
    <row r="50" spans="1:17" ht="25.5" customHeight="1" x14ac:dyDescent="0.2">
      <c r="A50" s="18" t="s">
        <v>37</v>
      </c>
      <c r="B50" s="24">
        <f>683353073.33</f>
        <v>683353073.33000004</v>
      </c>
      <c r="C50" s="24">
        <f>682502384.71</f>
        <v>682502384.71000004</v>
      </c>
      <c r="D50" s="24">
        <f>31241212</f>
        <v>31241212</v>
      </c>
      <c r="E50" s="24">
        <f>10044545.82</f>
        <v>10044545.82</v>
      </c>
      <c r="F50" s="24">
        <f>843223.66</f>
        <v>843223.66</v>
      </c>
      <c r="G50" s="24">
        <f>20350822.44</f>
        <v>20350822.440000001</v>
      </c>
      <c r="H50" s="24">
        <f>2620.08</f>
        <v>2620.08</v>
      </c>
      <c r="I50" s="24">
        <f>0</f>
        <v>0</v>
      </c>
      <c r="J50" s="24">
        <f>3011295.52</f>
        <v>3011295.52</v>
      </c>
      <c r="K50" s="24">
        <f>73375.95</f>
        <v>73375.95</v>
      </c>
      <c r="L50" s="24">
        <f>157748258.68</f>
        <v>157748258.68000001</v>
      </c>
      <c r="M50" s="24">
        <f>487183733.86</f>
        <v>487183733.86000001</v>
      </c>
      <c r="N50" s="24">
        <f>3244508.7</f>
        <v>3244508.7</v>
      </c>
      <c r="O50" s="24">
        <f>850688.62</f>
        <v>850688.62</v>
      </c>
      <c r="P50" s="24">
        <f>278764.56</f>
        <v>278764.56</v>
      </c>
      <c r="Q50" s="24">
        <f>571924.06</f>
        <v>571924.06000000006</v>
      </c>
    </row>
    <row r="51" spans="1:17" ht="30" customHeight="1" x14ac:dyDescent="0.2">
      <c r="A51" s="25" t="s">
        <v>44</v>
      </c>
      <c r="B51" s="23">
        <f>762128473.4</f>
        <v>762128473.39999998</v>
      </c>
      <c r="C51" s="23">
        <f>762084564.89</f>
        <v>762084564.88999999</v>
      </c>
      <c r="D51" s="23">
        <f>200292499.53</f>
        <v>200292499.53</v>
      </c>
      <c r="E51" s="23">
        <f>20157249.59</f>
        <v>20157249.59</v>
      </c>
      <c r="F51" s="23">
        <f>5379039.35</f>
        <v>5379039.3499999996</v>
      </c>
      <c r="G51" s="23">
        <f>172858145.02</f>
        <v>172858145.02000001</v>
      </c>
      <c r="H51" s="23">
        <f>1898065.57</f>
        <v>1898065.57</v>
      </c>
      <c r="I51" s="23">
        <f>0</f>
        <v>0</v>
      </c>
      <c r="J51" s="23">
        <f>167345.14</f>
        <v>167345.14000000001</v>
      </c>
      <c r="K51" s="23">
        <f>9742158.37</f>
        <v>9742158.3699999992</v>
      </c>
      <c r="L51" s="23">
        <f>466467629.97</f>
        <v>466467629.97000003</v>
      </c>
      <c r="M51" s="23">
        <f>77893451.84</f>
        <v>77893451.840000004</v>
      </c>
      <c r="N51" s="23">
        <f>7521480.04</f>
        <v>7521480.04</v>
      </c>
      <c r="O51" s="23">
        <f>43908.51</f>
        <v>43908.51</v>
      </c>
      <c r="P51" s="23">
        <f>8509.41</f>
        <v>8509.41</v>
      </c>
      <c r="Q51" s="23">
        <f>35399.1</f>
        <v>35399.1</v>
      </c>
    </row>
    <row r="52" spans="1:17" ht="31.5" customHeight="1" x14ac:dyDescent="0.2">
      <c r="A52" s="18" t="s">
        <v>38</v>
      </c>
      <c r="B52" s="24">
        <f>51059839.45</f>
        <v>51059839.450000003</v>
      </c>
      <c r="C52" s="24">
        <f>51051703.6</f>
        <v>51051703.600000001</v>
      </c>
      <c r="D52" s="24">
        <f>17512770.63</f>
        <v>17512770.629999999</v>
      </c>
      <c r="E52" s="24">
        <f>385638.2</f>
        <v>385638.2</v>
      </c>
      <c r="F52" s="24">
        <f>255498.57</f>
        <v>255498.57</v>
      </c>
      <c r="G52" s="24">
        <f>15456457.39</f>
        <v>15456457.390000001</v>
      </c>
      <c r="H52" s="24">
        <f>1415176.47</f>
        <v>1415176.47</v>
      </c>
      <c r="I52" s="24">
        <f>0</f>
        <v>0</v>
      </c>
      <c r="J52" s="24">
        <f>97028.98</f>
        <v>97028.98</v>
      </c>
      <c r="K52" s="24">
        <f>377821.36</f>
        <v>377821.36</v>
      </c>
      <c r="L52" s="24">
        <f>19076194.09</f>
        <v>19076194.09</v>
      </c>
      <c r="M52" s="24">
        <f>13275758.88</f>
        <v>13275758.880000001</v>
      </c>
      <c r="N52" s="24">
        <f>712129.66</f>
        <v>712129.66</v>
      </c>
      <c r="O52" s="24">
        <f>8135.85</f>
        <v>8135.85</v>
      </c>
      <c r="P52" s="24">
        <f>8135.85</f>
        <v>8135.85</v>
      </c>
      <c r="Q52" s="24">
        <f>0</f>
        <v>0</v>
      </c>
    </row>
    <row r="53" spans="1:17" ht="35.25" customHeight="1" x14ac:dyDescent="0.2">
      <c r="A53" s="18" t="s">
        <v>80</v>
      </c>
      <c r="B53" s="24">
        <f>945332.46</f>
        <v>945332.46</v>
      </c>
      <c r="C53" s="24">
        <f>945332.46</f>
        <v>945332.46</v>
      </c>
      <c r="D53" s="24">
        <f>888735.72</f>
        <v>888735.72</v>
      </c>
      <c r="E53" s="24">
        <f>462802.36</f>
        <v>462802.36</v>
      </c>
      <c r="F53" s="24">
        <f>0</f>
        <v>0</v>
      </c>
      <c r="G53" s="24">
        <f>252171.95</f>
        <v>252171.95</v>
      </c>
      <c r="H53" s="24">
        <f>173761.41</f>
        <v>173761.41</v>
      </c>
      <c r="I53" s="24">
        <f>0</f>
        <v>0</v>
      </c>
      <c r="J53" s="24">
        <f>0</f>
        <v>0</v>
      </c>
      <c r="K53" s="24">
        <f>147.37</f>
        <v>147.37</v>
      </c>
      <c r="L53" s="24">
        <f>2822.06</f>
        <v>2822.06</v>
      </c>
      <c r="M53" s="24">
        <f>53408.64</f>
        <v>53408.639999999999</v>
      </c>
      <c r="N53" s="24">
        <f>218.67</f>
        <v>218.67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710123301.49</f>
        <v>710123301.49000001</v>
      </c>
      <c r="C54" s="24">
        <f>710087528.83</f>
        <v>710087528.83000004</v>
      </c>
      <c r="D54" s="24">
        <f>181890993.18</f>
        <v>181890993.18000001</v>
      </c>
      <c r="E54" s="24">
        <f>19308809.03</f>
        <v>19308809.030000001</v>
      </c>
      <c r="F54" s="24">
        <f>5123540.78</f>
        <v>5123540.78</v>
      </c>
      <c r="G54" s="24">
        <f>157149515.68</f>
        <v>157149515.68000001</v>
      </c>
      <c r="H54" s="24">
        <f>309127.69</f>
        <v>309127.69</v>
      </c>
      <c r="I54" s="24">
        <f>0</f>
        <v>0</v>
      </c>
      <c r="J54" s="24">
        <f>70316.16</f>
        <v>70316.160000000003</v>
      </c>
      <c r="K54" s="24">
        <f>9364189.64</f>
        <v>9364189.6400000006</v>
      </c>
      <c r="L54" s="24">
        <f>447388613.82</f>
        <v>447388613.81999999</v>
      </c>
      <c r="M54" s="24">
        <f>64564284.32</f>
        <v>64564284.32</v>
      </c>
      <c r="N54" s="24">
        <f>6809131.71</f>
        <v>6809131.71</v>
      </c>
      <c r="O54" s="24">
        <f>35772.66</f>
        <v>35772.660000000003</v>
      </c>
      <c r="P54" s="24">
        <f>373.56</f>
        <v>373.56</v>
      </c>
      <c r="Q54" s="24">
        <f>35399.1</f>
        <v>35399.1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IV Kwartały 2024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485788155.42</f>
        <v>485788155.42000002</v>
      </c>
      <c r="G73" s="26">
        <f>238349387.93</f>
        <v>238349387.93000001</v>
      </c>
      <c r="H73" s="26">
        <f>35725528.31</f>
        <v>35725528.310000002</v>
      </c>
      <c r="I73" s="26">
        <f>11627395.57</f>
        <v>11627395.57</v>
      </c>
      <c r="J73" s="26">
        <f>184452602.9</f>
        <v>184452602.90000001</v>
      </c>
      <c r="K73" s="26">
        <f>6543861.15</f>
        <v>6543861.1500000004</v>
      </c>
      <c r="L73" s="26">
        <f>247438767.49</f>
        <v>247438767.49000001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37761533.98</f>
        <v>37761533.979999997</v>
      </c>
      <c r="G75" s="26">
        <f>13523841.18</f>
        <v>13523841.18</v>
      </c>
      <c r="H75" s="26">
        <f>0</f>
        <v>0</v>
      </c>
      <c r="I75" s="26">
        <f>0</f>
        <v>0</v>
      </c>
      <c r="J75" s="26">
        <f>13523841.18</f>
        <v>13523841.18</v>
      </c>
      <c r="K75" s="26">
        <f>0</f>
        <v>0</v>
      </c>
      <c r="L75" s="26">
        <f>24237692.8</f>
        <v>24237692.800000001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48876447.7</f>
        <v>48876447.700000003</v>
      </c>
      <c r="G76" s="26">
        <f>20389031.97</f>
        <v>20389031.969999999</v>
      </c>
      <c r="H76" s="26">
        <f>0</f>
        <v>0</v>
      </c>
      <c r="I76" s="26">
        <f>0</f>
        <v>0</v>
      </c>
      <c r="J76" s="26">
        <f>20389031.97</f>
        <v>20389031.969999999</v>
      </c>
      <c r="K76" s="26">
        <f>0</f>
        <v>0</v>
      </c>
      <c r="L76" s="26">
        <f>28487415.73</f>
        <v>28487415.73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12607230.78</f>
        <v>12607230.779999999</v>
      </c>
      <c r="G77" s="26">
        <f>12607230.78</f>
        <v>12607230.779999999</v>
      </c>
      <c r="H77" s="26">
        <f>0</f>
        <v>0</v>
      </c>
      <c r="I77" s="26">
        <f>0</f>
        <v>0</v>
      </c>
      <c r="J77" s="26">
        <f>12607230.78</f>
        <v>12607230.779999999</v>
      </c>
      <c r="K77" s="26">
        <f>0</f>
        <v>0</v>
      </c>
      <c r="L77" s="26">
        <f>0</f>
        <v>0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3752854.4</f>
        <v>3752854.4</v>
      </c>
      <c r="G78" s="26">
        <f>1300742.06</f>
        <v>1300742.06</v>
      </c>
      <c r="H78" s="26">
        <f>0</f>
        <v>0</v>
      </c>
      <c r="I78" s="26">
        <f>0</f>
        <v>0</v>
      </c>
      <c r="J78" s="26">
        <f>1300742.06</f>
        <v>1300742.06</v>
      </c>
      <c r="K78" s="26">
        <f>0</f>
        <v>0</v>
      </c>
      <c r="L78" s="26">
        <f>2452112.34</f>
        <v>2452112.34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1208758.34</f>
        <v>1208758.3400000001</v>
      </c>
      <c r="G79" s="26">
        <f>1208758.34</f>
        <v>1208758.3400000001</v>
      </c>
      <c r="H79" s="26">
        <f>0</f>
        <v>0</v>
      </c>
      <c r="I79" s="26">
        <f>0</f>
        <v>0</v>
      </c>
      <c r="J79" s="26">
        <f>1208758.34</f>
        <v>1208758.3400000001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IV Kwartały 2024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197</f>
        <v>197</v>
      </c>
      <c r="H85" s="63"/>
      <c r="I85" s="64">
        <f>1511076713.71</f>
        <v>1511076713.71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117</f>
        <v>117</v>
      </c>
      <c r="H86" s="73"/>
      <c r="I86" s="74">
        <f>-839719946.56</f>
        <v>-839719946.55999994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4</f>
        <v>4</v>
      </c>
      <c r="C90" s="8" t="str">
        <f>IF(B90=1,"I Kwartał",IF(B90=2,"II Kwartały",IF(B90=3,"III Kwartały",IF(B90=4,"IV Kwartały","-"))))</f>
        <v>IV Kwartały</v>
      </c>
    </row>
    <row r="91" spans="1:13" ht="13.5" customHeight="1" x14ac:dyDescent="0.2">
      <c r="A91" s="8" t="s">
        <v>9</v>
      </c>
      <c r="B91" s="8">
        <f>2024</f>
        <v>2024</v>
      </c>
      <c r="C91" s="9"/>
    </row>
    <row r="92" spans="1:13" ht="13.5" customHeight="1" x14ac:dyDescent="0.2">
      <c r="A92" s="8" t="s">
        <v>10</v>
      </c>
      <c r="B92" s="10" t="str">
        <f>"Mar 18 2025 12:00AM"</f>
        <v>Mar 18 2025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2025-03-28T13:57:10Z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2025-03-28T14:57:09.3642114+01:00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GRN-cda91641-b0df-401a-be20-0e6447a7920a</vt:lpwstr>
  </property>
  <property fmtid="{D5CDD505-2E9C-101B-9397-08002B2CF9AE}" pid="7" name="MFHash">
    <vt:lpwstr>bRZ/xIFVN3hJu0UcMAjHfokli8ZJG8KM5ATRMG+3ZNc=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