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85" i="7"/>
  <c r="A66" i="7"/>
  <c r="A29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<sst xmlns="http://schemas.openxmlformats.org/spreadsheetml/2006/main" count="97" uniqueCount="81">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</sst>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7" t="str">
        <f>CONCATENATE("Informacja z wykonania budżetów województw za  ",$C$93," ",$B$94," roku    ",$B$96,"")</f>
        <v xml:space="preserve">Informacja z wykonania budżetów województw za  I Kwartał 2023 roku    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8" t="s">
        <v>62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7" ht="13.5" customHeight="1" x14ac:dyDescent="0.2">
      <c r="B5" s="12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11"/>
      <c r="O5" s="11"/>
      <c r="P5" s="11"/>
      <c r="Q5" s="11"/>
    </row>
    <row r="6" spans="1:17" ht="13.5" customHeight="1" x14ac:dyDescent="0.2">
      <c r="A6" s="39" t="s">
        <v>0</v>
      </c>
      <c r="B6" s="42" t="s">
        <v>63</v>
      </c>
      <c r="C6" s="47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  <c r="O6" s="47" t="s">
        <v>66</v>
      </c>
      <c r="P6" s="48"/>
      <c r="Q6" s="49"/>
    </row>
    <row r="7" spans="1:17" ht="13.5" customHeight="1" x14ac:dyDescent="0.2">
      <c r="A7" s="40"/>
      <c r="B7" s="36"/>
      <c r="C7" s="35" t="s">
        <v>64</v>
      </c>
      <c r="D7" s="35" t="s">
        <v>75</v>
      </c>
      <c r="E7" s="35" t="s">
        <v>68</v>
      </c>
      <c r="F7" s="35" t="s">
        <v>69</v>
      </c>
      <c r="G7" s="35" t="s">
        <v>27</v>
      </c>
      <c r="H7" s="35" t="s">
        <v>28</v>
      </c>
      <c r="I7" s="50" t="s">
        <v>65</v>
      </c>
      <c r="J7" s="35" t="s">
        <v>16</v>
      </c>
      <c r="K7" s="35" t="s">
        <v>17</v>
      </c>
      <c r="L7" s="35" t="s">
        <v>18</v>
      </c>
      <c r="M7" s="35" t="s">
        <v>19</v>
      </c>
      <c r="N7" s="36" t="s">
        <v>20</v>
      </c>
      <c r="O7" s="31" t="s">
        <v>21</v>
      </c>
      <c r="P7" s="31" t="s">
        <v>22</v>
      </c>
      <c r="Q7" s="31" t="s">
        <v>23</v>
      </c>
    </row>
    <row r="8" spans="1:17" ht="13.5" customHeight="1" x14ac:dyDescent="0.2">
      <c r="A8" s="40"/>
      <c r="B8" s="36"/>
      <c r="C8" s="31"/>
      <c r="D8" s="31"/>
      <c r="E8" s="31"/>
      <c r="F8" s="31"/>
      <c r="G8" s="31"/>
      <c r="H8" s="31"/>
      <c r="I8" s="50"/>
      <c r="J8" s="31"/>
      <c r="K8" s="31"/>
      <c r="L8" s="31"/>
      <c r="M8" s="31"/>
      <c r="N8" s="36"/>
      <c r="O8" s="31"/>
      <c r="P8" s="31"/>
      <c r="Q8" s="31"/>
    </row>
    <row r="9" spans="1:17" ht="11.25" customHeight="1" x14ac:dyDescent="0.2">
      <c r="A9" s="40"/>
      <c r="B9" s="36"/>
      <c r="C9" s="31"/>
      <c r="D9" s="31"/>
      <c r="E9" s="31"/>
      <c r="F9" s="31"/>
      <c r="G9" s="31"/>
      <c r="H9" s="31"/>
      <c r="I9" s="50"/>
      <c r="J9" s="31"/>
      <c r="K9" s="31"/>
      <c r="L9" s="31"/>
      <c r="M9" s="31"/>
      <c r="N9" s="36"/>
      <c r="O9" s="31"/>
      <c r="P9" s="31"/>
      <c r="Q9" s="31"/>
    </row>
    <row r="10" spans="1:17" ht="27.75" customHeight="1" x14ac:dyDescent="0.2">
      <c r="A10" s="41"/>
      <c r="B10" s="35"/>
      <c r="C10" s="31"/>
      <c r="D10" s="31"/>
      <c r="E10" s="31"/>
      <c r="F10" s="31"/>
      <c r="G10" s="31"/>
      <c r="H10" s="31"/>
      <c r="I10" s="51"/>
      <c r="J10" s="31"/>
      <c r="K10" s="31"/>
      <c r="L10" s="31"/>
      <c r="M10" s="31"/>
      <c r="N10" s="35"/>
      <c r="O10" s="31"/>
      <c r="P10" s="31"/>
      <c r="Q10" s="31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43" t="s">
        <v>78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3.5" customHeight="1" x14ac:dyDescent="0.2">
      <c r="A13" s="19" t="s">
        <v>79</v>
      </c>
      <c r="B13" s="20">
        <f>4889832603.19</f>
        <v>4889832603.1899996</v>
      </c>
      <c r="C13" s="20">
        <f>2876859771.33</f>
        <v>2876859771.3299999</v>
      </c>
      <c r="D13" s="20">
        <f>184677984.31</f>
        <v>184677984.31</v>
      </c>
      <c r="E13" s="20">
        <f>182000000</f>
        <v>182000000</v>
      </c>
      <c r="F13" s="20">
        <f>55947</f>
        <v>55947</v>
      </c>
      <c r="G13" s="20">
        <f>2622037.31</f>
        <v>2622037.31</v>
      </c>
      <c r="H13" s="20">
        <f>0</f>
        <v>0</v>
      </c>
      <c r="I13" s="20">
        <f>0</f>
        <v>0</v>
      </c>
      <c r="J13" s="20">
        <f>2483167745.81</f>
        <v>2483167745.8099999</v>
      </c>
      <c r="K13" s="20">
        <f>2857</f>
        <v>2857</v>
      </c>
      <c r="L13" s="20">
        <f>208567641.93</f>
        <v>208567641.93000001</v>
      </c>
      <c r="M13" s="20">
        <f>434443.64</f>
        <v>434443.64</v>
      </c>
      <c r="N13" s="20">
        <f>9098.64</f>
        <v>9098.64</v>
      </c>
      <c r="O13" s="20">
        <f>2012972831.86</f>
        <v>2012972831.8599999</v>
      </c>
      <c r="P13" s="20">
        <f>2012972831.86</f>
        <v>2012972831.8599999</v>
      </c>
      <c r="Q13" s="20">
        <f>0</f>
        <v>0</v>
      </c>
    </row>
    <row r="14" spans="1:17" ht="28.5" customHeight="1" x14ac:dyDescent="0.2">
      <c r="A14" s="19" t="s">
        <v>45</v>
      </c>
      <c r="B14" s="20">
        <f>229950000</f>
        <v>229950000</v>
      </c>
      <c r="C14" s="20">
        <f>229950000</f>
        <v>229950000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229950000</f>
        <v>229950000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229950000</f>
        <v>229950000</v>
      </c>
      <c r="C16" s="21">
        <f>229950000</f>
        <v>229950000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229950000</f>
        <v>229950000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4659180621.94</f>
        <v>4659180621.9399996</v>
      </c>
      <c r="C17" s="20">
        <f>2646207790.08</f>
        <v>2646207790.0799999</v>
      </c>
      <c r="D17" s="20">
        <f>184571936.27</f>
        <v>184571936.27000001</v>
      </c>
      <c r="E17" s="20">
        <f>182000000</f>
        <v>182000000</v>
      </c>
      <c r="F17" s="20">
        <f>0</f>
        <v>0</v>
      </c>
      <c r="G17" s="20">
        <f>2571936.27</f>
        <v>2571936.27</v>
      </c>
      <c r="H17" s="20">
        <f>0</f>
        <v>0</v>
      </c>
      <c r="I17" s="20">
        <f>0</f>
        <v>0</v>
      </c>
      <c r="J17" s="20">
        <f>2253189903.81</f>
        <v>2253189903.8099999</v>
      </c>
      <c r="K17" s="20">
        <f>0</f>
        <v>0</v>
      </c>
      <c r="L17" s="20">
        <f>208445950</f>
        <v>208445950</v>
      </c>
      <c r="M17" s="20">
        <f>0</f>
        <v>0</v>
      </c>
      <c r="N17" s="20">
        <f>0</f>
        <v>0</v>
      </c>
      <c r="O17" s="20">
        <f>2012972831.86</f>
        <v>2012972831.8599999</v>
      </c>
      <c r="P17" s="20">
        <f>2012972831.86</f>
        <v>2012972831.8599999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4659180621.94</f>
        <v>4659180621.9399996</v>
      </c>
      <c r="C19" s="21">
        <f>2646207790.08</f>
        <v>2646207790.0799999</v>
      </c>
      <c r="D19" s="21">
        <f>184571936.27</f>
        <v>184571936.27000001</v>
      </c>
      <c r="E19" s="21">
        <f>182000000</f>
        <v>182000000</v>
      </c>
      <c r="F19" s="21">
        <f>0</f>
        <v>0</v>
      </c>
      <c r="G19" s="21">
        <f>2571936.27</f>
        <v>2571936.27</v>
      </c>
      <c r="H19" s="21">
        <f>0</f>
        <v>0</v>
      </c>
      <c r="I19" s="21">
        <f>0</f>
        <v>0</v>
      </c>
      <c r="J19" s="21">
        <f>2253189903.81</f>
        <v>2253189903.8099999</v>
      </c>
      <c r="K19" s="21">
        <f>0</f>
        <v>0</v>
      </c>
      <c r="L19" s="21">
        <f>208445950</f>
        <v>208445950</v>
      </c>
      <c r="M19" s="21">
        <f>0</f>
        <v>0</v>
      </c>
      <c r="N19" s="21">
        <f>0</f>
        <v>0</v>
      </c>
      <c r="O19" s="21">
        <f>2012972831.86</f>
        <v>2012972831.8599999</v>
      </c>
      <c r="P19" s="21">
        <f>2012972831.86</f>
        <v>2012972831.8599999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701981.25</f>
        <v>701981.25</v>
      </c>
      <c r="C21" s="20">
        <f>701981.25</f>
        <v>701981.25</v>
      </c>
      <c r="D21" s="20">
        <f>106048.04</f>
        <v>106048.04</v>
      </c>
      <c r="E21" s="20">
        <f>0</f>
        <v>0</v>
      </c>
      <c r="F21" s="20">
        <f>55947</f>
        <v>55947</v>
      </c>
      <c r="G21" s="20">
        <f>50101.04</f>
        <v>50101.04</v>
      </c>
      <c r="H21" s="20">
        <f>0</f>
        <v>0</v>
      </c>
      <c r="I21" s="20">
        <f>0</f>
        <v>0</v>
      </c>
      <c r="J21" s="20">
        <f>27842</f>
        <v>27842</v>
      </c>
      <c r="K21" s="20">
        <f>2857</f>
        <v>2857</v>
      </c>
      <c r="L21" s="20">
        <f>121691.93</f>
        <v>121691.93</v>
      </c>
      <c r="M21" s="20">
        <f>434443.64</f>
        <v>434443.64</v>
      </c>
      <c r="N21" s="20">
        <f>9098.64</f>
        <v>9098.64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213857.27</f>
        <v>213857.27</v>
      </c>
      <c r="C22" s="21">
        <f>213857.27</f>
        <v>213857.27</v>
      </c>
      <c r="D22" s="21">
        <f>50101.04</f>
        <v>50101.04</v>
      </c>
      <c r="E22" s="21">
        <f>0</f>
        <v>0</v>
      </c>
      <c r="F22" s="21">
        <f>0</f>
        <v>0</v>
      </c>
      <c r="G22" s="21">
        <f>50101.04</f>
        <v>50101.04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121691.93</f>
        <v>121691.93</v>
      </c>
      <c r="M22" s="21">
        <f>32965.66</f>
        <v>32965.660000000003</v>
      </c>
      <c r="N22" s="21">
        <f>9098.64</f>
        <v>9098.64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488123.98</f>
        <v>488123.98</v>
      </c>
      <c r="C23" s="21">
        <f>488123.98</f>
        <v>488123.98</v>
      </c>
      <c r="D23" s="21">
        <f>55947</f>
        <v>55947</v>
      </c>
      <c r="E23" s="21">
        <f>0</f>
        <v>0</v>
      </c>
      <c r="F23" s="21">
        <f>55947</f>
        <v>55947</v>
      </c>
      <c r="G23" s="21">
        <f>0</f>
        <v>0</v>
      </c>
      <c r="H23" s="21">
        <f>0</f>
        <v>0</v>
      </c>
      <c r="I23" s="21">
        <f>0</f>
        <v>0</v>
      </c>
      <c r="J23" s="21">
        <f>27842</f>
        <v>27842</v>
      </c>
      <c r="K23" s="21">
        <f>2857</f>
        <v>2857</v>
      </c>
      <c r="L23" s="21">
        <f>0</f>
        <v>0</v>
      </c>
      <c r="M23" s="21">
        <f>401477.98</f>
        <v>401477.98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7" t="str">
        <f>CONCATENATE("Informacja z wykonania budżetów województw za  ",$C$93," ",$B$94," roku    ",$B$96,"")</f>
        <v xml:space="preserve">Informacja z wykonania budżetów województw za  I Kwartał 2023 roku    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1" spans="1:17" ht="13.5" customHeight="1" x14ac:dyDescent="0.2">
      <c r="A31" s="38" t="s">
        <v>11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3" spans="1:17" ht="13.5" customHeight="1" x14ac:dyDescent="0.2">
      <c r="A33" s="39" t="s">
        <v>0</v>
      </c>
      <c r="B33" s="42" t="s">
        <v>12</v>
      </c>
      <c r="C33" s="32" t="s">
        <v>14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/>
      <c r="O33" s="32" t="s">
        <v>24</v>
      </c>
      <c r="P33" s="33"/>
      <c r="Q33" s="34"/>
    </row>
    <row r="34" spans="1:17" ht="13.5" customHeight="1" x14ac:dyDescent="0.2">
      <c r="A34" s="40"/>
      <c r="B34" s="36"/>
      <c r="C34" s="36" t="s">
        <v>13</v>
      </c>
      <c r="D34" s="31" t="s">
        <v>15</v>
      </c>
      <c r="E34" s="31" t="s">
        <v>25</v>
      </c>
      <c r="F34" s="31" t="s">
        <v>26</v>
      </c>
      <c r="G34" s="31" t="s">
        <v>72</v>
      </c>
      <c r="H34" s="31" t="s">
        <v>28</v>
      </c>
      <c r="I34" s="31" t="s">
        <v>1</v>
      </c>
      <c r="J34" s="31" t="s">
        <v>16</v>
      </c>
      <c r="K34" s="31" t="s">
        <v>17</v>
      </c>
      <c r="L34" s="31" t="s">
        <v>18</v>
      </c>
      <c r="M34" s="31" t="s">
        <v>19</v>
      </c>
      <c r="N34" s="74" t="s">
        <v>20</v>
      </c>
      <c r="O34" s="31" t="s">
        <v>21</v>
      </c>
      <c r="P34" s="31" t="s">
        <v>22</v>
      </c>
      <c r="Q34" s="42" t="s">
        <v>23</v>
      </c>
    </row>
    <row r="35" spans="1:17" ht="13.5" customHeight="1" x14ac:dyDescent="0.2">
      <c r="A35" s="40"/>
      <c r="B35" s="36"/>
      <c r="C35" s="36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4"/>
      <c r="O35" s="31"/>
      <c r="P35" s="31"/>
      <c r="Q35" s="36"/>
    </row>
    <row r="36" spans="1:17" ht="11.25" customHeight="1" x14ac:dyDescent="0.2">
      <c r="A36" s="40"/>
      <c r="B36" s="36"/>
      <c r="C36" s="36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4"/>
      <c r="O36" s="31"/>
      <c r="P36" s="31"/>
      <c r="Q36" s="36"/>
    </row>
    <row r="37" spans="1:17" ht="11.25" customHeight="1" x14ac:dyDescent="0.2">
      <c r="A37" s="41"/>
      <c r="B37" s="35"/>
      <c r="C37" s="35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4"/>
      <c r="O37" s="31"/>
      <c r="P37" s="31"/>
      <c r="Q37" s="35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43" t="s">
        <v>78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5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416844025.17</f>
        <v>416844025.17000002</v>
      </c>
      <c r="C43" s="22">
        <f>416844025.17</f>
        <v>416844025.17000002</v>
      </c>
      <c r="D43" s="22">
        <f>372287079.41</f>
        <v>372287079.41000003</v>
      </c>
      <c r="E43" s="22">
        <f>98144.03</f>
        <v>98144.03</v>
      </c>
      <c r="F43" s="22">
        <f>9988.58</f>
        <v>9988.58</v>
      </c>
      <c r="G43" s="22">
        <f>372178946.8</f>
        <v>372178946.80000001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40843764.1</f>
        <v>40843764.100000001</v>
      </c>
      <c r="M43" s="22">
        <f>3542239.09</f>
        <v>3542239.09</v>
      </c>
      <c r="N43" s="22">
        <f>170942.57</f>
        <v>170942.57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21741021.62</f>
        <v>21741021.620000001</v>
      </c>
      <c r="C44" s="23">
        <f>21741021.62</f>
        <v>21741021.620000001</v>
      </c>
      <c r="D44" s="23">
        <f>21658000</f>
        <v>21658000</v>
      </c>
      <c r="E44" s="23">
        <f>0</f>
        <v>0</v>
      </c>
      <c r="F44" s="23">
        <f>0</f>
        <v>0</v>
      </c>
      <c r="G44" s="23">
        <f>21658000</f>
        <v>21658000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395103003.55</f>
        <v>395103003.55000001</v>
      </c>
      <c r="C45" s="23">
        <f>395103003.55</f>
        <v>395103003.55000001</v>
      </c>
      <c r="D45" s="23">
        <f>350629079.41</f>
        <v>350629079.41000003</v>
      </c>
      <c r="E45" s="23">
        <f>98144.03</f>
        <v>98144.03</v>
      </c>
      <c r="F45" s="23">
        <f>9988.58</f>
        <v>9988.58</v>
      </c>
      <c r="G45" s="23">
        <f>350520946.8</f>
        <v>350520946.80000001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40760742.48</f>
        <v>40760742.479999997</v>
      </c>
      <c r="M45" s="23">
        <f>3542239.09</f>
        <v>3542239.09</v>
      </c>
      <c r="N45" s="23">
        <f>170942.57</f>
        <v>170942.57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7819732410.75</f>
        <v>7819732410.75</v>
      </c>
      <c r="C46" s="22">
        <f>7819549558.63</f>
        <v>7819549558.6300001</v>
      </c>
      <c r="D46" s="22">
        <f>356881.52</f>
        <v>356881.52</v>
      </c>
      <c r="E46" s="22">
        <f>840</f>
        <v>840</v>
      </c>
      <c r="F46" s="22">
        <f>16265.52</f>
        <v>16265.52</v>
      </c>
      <c r="G46" s="22">
        <f>339776</f>
        <v>339776</v>
      </c>
      <c r="H46" s="22">
        <f>0</f>
        <v>0</v>
      </c>
      <c r="I46" s="22">
        <f>0</f>
        <v>0</v>
      </c>
      <c r="J46" s="22">
        <f>7815972354.99</f>
        <v>7815972354.9899998</v>
      </c>
      <c r="K46" s="22">
        <f>0</f>
        <v>0</v>
      </c>
      <c r="L46" s="22">
        <f>3211858.49</f>
        <v>3211858.49</v>
      </c>
      <c r="M46" s="22">
        <f>8463.63</f>
        <v>8463.6299999999992</v>
      </c>
      <c r="N46" s="22">
        <f>0</f>
        <v>0</v>
      </c>
      <c r="O46" s="22">
        <f>182852.12</f>
        <v>182852.12</v>
      </c>
      <c r="P46" s="22">
        <f>182852.12</f>
        <v>182852.12</v>
      </c>
      <c r="Q46" s="22">
        <f>0</f>
        <v>0</v>
      </c>
    </row>
    <row r="47" spans="1:17" ht="24" customHeight="1" x14ac:dyDescent="0.2">
      <c r="A47" s="18" t="s">
        <v>33</v>
      </c>
      <c r="B47" s="23">
        <f>339752</f>
        <v>339752</v>
      </c>
      <c r="C47" s="23">
        <f>339752</f>
        <v>339752</v>
      </c>
      <c r="D47" s="23">
        <f>339752</f>
        <v>339752</v>
      </c>
      <c r="E47" s="23">
        <f>0</f>
        <v>0</v>
      </c>
      <c r="F47" s="23">
        <f>0</f>
        <v>0</v>
      </c>
      <c r="G47" s="23">
        <f>339752</f>
        <v>339752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5567228090.98</f>
        <v>5567228090.9799995</v>
      </c>
      <c r="C48" s="23">
        <f>5567228090.98</f>
        <v>5567228090.9799995</v>
      </c>
      <c r="D48" s="23">
        <f>864</f>
        <v>864</v>
      </c>
      <c r="E48" s="23">
        <f>840</f>
        <v>840</v>
      </c>
      <c r="F48" s="23">
        <f>0</f>
        <v>0</v>
      </c>
      <c r="G48" s="23">
        <f>24</f>
        <v>24</v>
      </c>
      <c r="H48" s="23">
        <f>0</f>
        <v>0</v>
      </c>
      <c r="I48" s="23">
        <f>0</f>
        <v>0</v>
      </c>
      <c r="J48" s="23">
        <f>5564013373.1</f>
        <v>5564013373.1000004</v>
      </c>
      <c r="K48" s="23">
        <f>0</f>
        <v>0</v>
      </c>
      <c r="L48" s="23">
        <f>3205390.25</f>
        <v>3205390.25</v>
      </c>
      <c r="M48" s="23">
        <f>8463.63</f>
        <v>8463.6299999999992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2252164567.77</f>
        <v>2252164567.77</v>
      </c>
      <c r="C49" s="23">
        <f>2251981715.65</f>
        <v>2251981715.6500001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2251958981.89</f>
        <v>2251958981.8899999</v>
      </c>
      <c r="K49" s="23">
        <f>0</f>
        <v>0</v>
      </c>
      <c r="L49" s="23">
        <f>6468.24</f>
        <v>6468.24</v>
      </c>
      <c r="M49" s="23">
        <f>0</f>
        <v>0</v>
      </c>
      <c r="N49" s="23">
        <f>0</f>
        <v>0</v>
      </c>
      <c r="O49" s="23">
        <f>182852.12</f>
        <v>182852.12</v>
      </c>
      <c r="P49" s="23">
        <f>182852.12</f>
        <v>182852.12</v>
      </c>
      <c r="Q49" s="23">
        <f>0</f>
        <v>0</v>
      </c>
    </row>
    <row r="50" spans="1:17" ht="30.75" customHeight="1" x14ac:dyDescent="0.2">
      <c r="A50" s="24" t="s">
        <v>43</v>
      </c>
      <c r="B50" s="22">
        <f>4755599767.92</f>
        <v>4755599767.9200001</v>
      </c>
      <c r="C50" s="22">
        <f>4753164989.3</f>
        <v>4753164989.3000002</v>
      </c>
      <c r="D50" s="22">
        <f>21400691.49</f>
        <v>21400691.489999998</v>
      </c>
      <c r="E50" s="22">
        <f>65851.92</f>
        <v>65851.92</v>
      </c>
      <c r="F50" s="22">
        <f>520399.88</f>
        <v>520399.88</v>
      </c>
      <c r="G50" s="22">
        <f>20812159.41</f>
        <v>20812159.41</v>
      </c>
      <c r="H50" s="22">
        <f>2280.28</f>
        <v>2280.2800000000002</v>
      </c>
      <c r="I50" s="22">
        <f>0</f>
        <v>0</v>
      </c>
      <c r="J50" s="22">
        <f>27177.37</f>
        <v>27177.37</v>
      </c>
      <c r="K50" s="22">
        <f>15813945.92</f>
        <v>15813945.92</v>
      </c>
      <c r="L50" s="22">
        <f>1808118936.72</f>
        <v>1808118936.72</v>
      </c>
      <c r="M50" s="22">
        <f>2884668615.11</f>
        <v>2884668615.1100001</v>
      </c>
      <c r="N50" s="22">
        <f>23135622.69</f>
        <v>23135622.690000001</v>
      </c>
      <c r="O50" s="22">
        <f>2434778.62</f>
        <v>2434778.62</v>
      </c>
      <c r="P50" s="22">
        <f>1899110.91</f>
        <v>1899110.91</v>
      </c>
      <c r="Q50" s="22">
        <f>535667.71</f>
        <v>535667.71</v>
      </c>
    </row>
    <row r="51" spans="1:17" ht="30" customHeight="1" x14ac:dyDescent="0.2">
      <c r="A51" s="18" t="s">
        <v>36</v>
      </c>
      <c r="B51" s="23">
        <f>136658270.49</f>
        <v>136658270.49000001</v>
      </c>
      <c r="C51" s="23">
        <f>136650962.87</f>
        <v>136650962.87</v>
      </c>
      <c r="D51" s="23">
        <f>255112.73</f>
        <v>255112.73</v>
      </c>
      <c r="E51" s="23">
        <f>0</f>
        <v>0</v>
      </c>
      <c r="F51" s="23">
        <f>5710.15</f>
        <v>5710.15</v>
      </c>
      <c r="G51" s="23">
        <f>249402.58</f>
        <v>249402.58</v>
      </c>
      <c r="H51" s="23">
        <f>0</f>
        <v>0</v>
      </c>
      <c r="I51" s="23">
        <f>0</f>
        <v>0</v>
      </c>
      <c r="J51" s="23">
        <f>1899.47</f>
        <v>1899.47</v>
      </c>
      <c r="K51" s="23">
        <f>0</f>
        <v>0</v>
      </c>
      <c r="L51" s="23">
        <f>130477261.52</f>
        <v>130477261.52</v>
      </c>
      <c r="M51" s="23">
        <f>5308967.65</f>
        <v>5308967.6500000004</v>
      </c>
      <c r="N51" s="23">
        <f>607721.5</f>
        <v>607721.5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4618941497.43</f>
        <v>4618941497.4300003</v>
      </c>
      <c r="C52" s="23">
        <f>4616514026.43</f>
        <v>4616514026.4300003</v>
      </c>
      <c r="D52" s="23">
        <f>21145578.76</f>
        <v>21145578.760000002</v>
      </c>
      <c r="E52" s="23">
        <f>65851.92</f>
        <v>65851.92</v>
      </c>
      <c r="F52" s="23">
        <f>514689.73</f>
        <v>514689.73</v>
      </c>
      <c r="G52" s="23">
        <f>20562756.83</f>
        <v>20562756.829999998</v>
      </c>
      <c r="H52" s="23">
        <f>2280.28</f>
        <v>2280.2800000000002</v>
      </c>
      <c r="I52" s="23">
        <f>0</f>
        <v>0</v>
      </c>
      <c r="J52" s="23">
        <f>25277.9</f>
        <v>25277.9</v>
      </c>
      <c r="K52" s="23">
        <f>15813945.92</f>
        <v>15813945.92</v>
      </c>
      <c r="L52" s="23">
        <f>1677641675.2</f>
        <v>1677641675.2</v>
      </c>
      <c r="M52" s="23">
        <f>2879359647.46</f>
        <v>2879359647.46</v>
      </c>
      <c r="N52" s="23">
        <f>22527901.19</f>
        <v>22527901.190000001</v>
      </c>
      <c r="O52" s="23">
        <f>2427471</f>
        <v>2427471</v>
      </c>
      <c r="P52" s="23">
        <f>1891803.29</f>
        <v>1891803.29</v>
      </c>
      <c r="Q52" s="23">
        <f>535667.71</f>
        <v>535667.71</v>
      </c>
    </row>
    <row r="53" spans="1:17" ht="30.75" customHeight="1" x14ac:dyDescent="0.2">
      <c r="A53" s="24" t="s">
        <v>44</v>
      </c>
      <c r="B53" s="22">
        <f>1456079175.46</f>
        <v>1456079175.46</v>
      </c>
      <c r="C53" s="22">
        <f>1452491708.39</f>
        <v>1452491708.3900001</v>
      </c>
      <c r="D53" s="22">
        <f>134299190.02</f>
        <v>134299190.02000001</v>
      </c>
      <c r="E53" s="22">
        <f>5974972.69</f>
        <v>5974972.6900000004</v>
      </c>
      <c r="F53" s="22">
        <f>1088649.74</f>
        <v>1088649.74</v>
      </c>
      <c r="G53" s="22">
        <f>126820976.57</f>
        <v>126820976.56999999</v>
      </c>
      <c r="H53" s="22">
        <f>414591.02</f>
        <v>414591.02</v>
      </c>
      <c r="I53" s="22">
        <f>14431.94</f>
        <v>14431.94</v>
      </c>
      <c r="J53" s="22">
        <f>289069.49</f>
        <v>289069.49</v>
      </c>
      <c r="K53" s="22">
        <f>224588.85</f>
        <v>224588.85</v>
      </c>
      <c r="L53" s="22">
        <f>1082711553.57</f>
        <v>1082711553.5699999</v>
      </c>
      <c r="M53" s="22">
        <f>205679167.81</f>
        <v>205679167.81</v>
      </c>
      <c r="N53" s="22">
        <f>29273706.71</f>
        <v>29273706.710000001</v>
      </c>
      <c r="O53" s="22">
        <f>3587467.07</f>
        <v>3587467.07</v>
      </c>
      <c r="P53" s="22">
        <f>3585067.07</f>
        <v>3585067.07</v>
      </c>
      <c r="Q53" s="22">
        <f>2400</f>
        <v>2400</v>
      </c>
    </row>
    <row r="54" spans="1:17" ht="30" customHeight="1" x14ac:dyDescent="0.2">
      <c r="A54" s="18" t="s">
        <v>38</v>
      </c>
      <c r="B54" s="23">
        <f>70964983.03</f>
        <v>70964983.030000001</v>
      </c>
      <c r="C54" s="23">
        <f>70876959.71</f>
        <v>70876959.709999993</v>
      </c>
      <c r="D54" s="23">
        <f>4960111.96</f>
        <v>4960111.96</v>
      </c>
      <c r="E54" s="23">
        <f>82861.24</f>
        <v>82861.240000000005</v>
      </c>
      <c r="F54" s="23">
        <f>321672.49</f>
        <v>321672.49</v>
      </c>
      <c r="G54" s="23">
        <f>4555578.23</f>
        <v>4555578.2300000004</v>
      </c>
      <c r="H54" s="23">
        <f>0</f>
        <v>0</v>
      </c>
      <c r="I54" s="23">
        <f>14431.94</f>
        <v>14431.94</v>
      </c>
      <c r="J54" s="23">
        <f>800</f>
        <v>800</v>
      </c>
      <c r="K54" s="23">
        <f>167.5</f>
        <v>167.5</v>
      </c>
      <c r="L54" s="23">
        <f>61634869.46</f>
        <v>61634869.460000001</v>
      </c>
      <c r="M54" s="23">
        <f>3768708.21</f>
        <v>3768708.21</v>
      </c>
      <c r="N54" s="23">
        <f>497870.64</f>
        <v>497870.64</v>
      </c>
      <c r="O54" s="23">
        <f>88023.32</f>
        <v>88023.32</v>
      </c>
      <c r="P54" s="23">
        <f>88023.32</f>
        <v>88023.32</v>
      </c>
      <c r="Q54" s="23">
        <f>0</f>
        <v>0</v>
      </c>
    </row>
    <row r="55" spans="1:17" ht="33" customHeight="1" x14ac:dyDescent="0.2">
      <c r="A55" s="18" t="s">
        <v>80</v>
      </c>
      <c r="B55" s="23">
        <f>3011.93</f>
        <v>3011.93</v>
      </c>
      <c r="C55" s="23">
        <f>3011.93</f>
        <v>3011.93</v>
      </c>
      <c r="D55" s="23">
        <f>3011.93</f>
        <v>3011.93</v>
      </c>
      <c r="E55" s="23">
        <f>76.36</f>
        <v>76.36</v>
      </c>
      <c r="F55" s="23">
        <f>0</f>
        <v>0</v>
      </c>
      <c r="G55" s="23">
        <f>0</f>
        <v>0</v>
      </c>
      <c r="H55" s="23">
        <f>2935.57</f>
        <v>2935.57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1385111180.5</f>
        <v>1385111180.5</v>
      </c>
      <c r="C56" s="23">
        <f>1381611736.75</f>
        <v>1381611736.75</v>
      </c>
      <c r="D56" s="23">
        <f>129336066.13</f>
        <v>129336066.13</v>
      </c>
      <c r="E56" s="23">
        <f>5892035.09</f>
        <v>5892035.0899999999</v>
      </c>
      <c r="F56" s="23">
        <f>766977.25</f>
        <v>766977.25</v>
      </c>
      <c r="G56" s="23">
        <f>122265398.34</f>
        <v>122265398.34</v>
      </c>
      <c r="H56" s="23">
        <f>411655.45</f>
        <v>411655.45</v>
      </c>
      <c r="I56" s="23">
        <f>0</f>
        <v>0</v>
      </c>
      <c r="J56" s="23">
        <f>288269.49</f>
        <v>288269.49</v>
      </c>
      <c r="K56" s="23">
        <f>224421.35</f>
        <v>224421.35</v>
      </c>
      <c r="L56" s="23">
        <f>1021076684.11</f>
        <v>1021076684.11</v>
      </c>
      <c r="M56" s="23">
        <f>201910459.6</f>
        <v>201910459.59999999</v>
      </c>
      <c r="N56" s="23">
        <f>28775836.07</f>
        <v>28775836.07</v>
      </c>
      <c r="O56" s="23">
        <f>3499443.75</f>
        <v>3499443.75</v>
      </c>
      <c r="P56" s="23">
        <f>3497043.75</f>
        <v>3497043.75</v>
      </c>
      <c r="Q56" s="23">
        <f>2400</f>
        <v>2400</v>
      </c>
    </row>
    <row r="66" spans="1:13" ht="67.5" customHeight="1" x14ac:dyDescent="0.2">
      <c r="A66" s="37" t="str">
        <f>CONCATENATE("Informacja z wykonania budżetów województw za  ",$C$93," ",$B$94," roku    ",$B$96,"")</f>
        <v xml:space="preserve">Informacja z wykonania budżetów województw za  I Kwartał 2023 roku    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</row>
    <row r="67" spans="1:13" ht="13.5" customHeight="1" x14ac:dyDescent="0.2">
      <c r="B67" s="38" t="s">
        <v>2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</row>
    <row r="69" spans="1:13" ht="13.5" customHeight="1" x14ac:dyDescent="0.2">
      <c r="B69" s="61" t="s">
        <v>0</v>
      </c>
      <c r="C69" s="62"/>
      <c r="D69" s="62"/>
      <c r="E69" s="63"/>
      <c r="F69" s="70" t="s">
        <v>70</v>
      </c>
      <c r="G69" s="27" t="s">
        <v>76</v>
      </c>
      <c r="H69" s="56"/>
      <c r="I69" s="56"/>
      <c r="J69" s="56"/>
      <c r="K69" s="56"/>
      <c r="L69" s="57"/>
    </row>
    <row r="70" spans="1:13" ht="13.5" customHeight="1" x14ac:dyDescent="0.2">
      <c r="B70" s="64"/>
      <c r="C70" s="65"/>
      <c r="D70" s="65"/>
      <c r="E70" s="66"/>
      <c r="F70" s="71"/>
      <c r="G70" s="73" t="s">
        <v>71</v>
      </c>
      <c r="H70" s="26" t="s">
        <v>68</v>
      </c>
      <c r="I70" s="26" t="s">
        <v>69</v>
      </c>
      <c r="J70" s="26" t="s">
        <v>72</v>
      </c>
      <c r="K70" s="26" t="s">
        <v>73</v>
      </c>
      <c r="L70" s="30" t="s">
        <v>74</v>
      </c>
    </row>
    <row r="71" spans="1:13" ht="13.5" customHeight="1" x14ac:dyDescent="0.2">
      <c r="B71" s="64"/>
      <c r="C71" s="65"/>
      <c r="D71" s="65"/>
      <c r="E71" s="66"/>
      <c r="F71" s="71"/>
      <c r="G71" s="73"/>
      <c r="H71" s="26"/>
      <c r="I71" s="26"/>
      <c r="J71" s="26"/>
      <c r="K71" s="26"/>
      <c r="L71" s="30"/>
    </row>
    <row r="72" spans="1:13" ht="11.25" customHeight="1" x14ac:dyDescent="0.2">
      <c r="B72" s="64"/>
      <c r="C72" s="65"/>
      <c r="D72" s="65"/>
      <c r="E72" s="66"/>
      <c r="F72" s="71"/>
      <c r="G72" s="73"/>
      <c r="H72" s="26"/>
      <c r="I72" s="26"/>
      <c r="J72" s="26"/>
      <c r="K72" s="26"/>
      <c r="L72" s="30"/>
    </row>
    <row r="73" spans="1:13" ht="11.25" customHeight="1" x14ac:dyDescent="0.2">
      <c r="B73" s="67"/>
      <c r="C73" s="68"/>
      <c r="D73" s="68"/>
      <c r="E73" s="69"/>
      <c r="F73" s="72"/>
      <c r="G73" s="73"/>
      <c r="H73" s="26"/>
      <c r="I73" s="26"/>
      <c r="J73" s="26"/>
      <c r="K73" s="26"/>
      <c r="L73" s="30"/>
    </row>
    <row r="74" spans="1:13" ht="11.25" customHeight="1" x14ac:dyDescent="0.2">
      <c r="B74" s="26">
        <v>1</v>
      </c>
      <c r="C74" s="26"/>
      <c r="D74" s="26"/>
      <c r="E74" s="26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26"/>
      <c r="C75" s="26"/>
      <c r="D75" s="26"/>
      <c r="E75" s="26"/>
      <c r="F75" s="27" t="s">
        <v>78</v>
      </c>
      <c r="G75" s="28"/>
      <c r="H75" s="28"/>
      <c r="I75" s="28"/>
      <c r="J75" s="28"/>
      <c r="K75" s="28"/>
      <c r="L75" s="29"/>
    </row>
    <row r="76" spans="1:13" ht="33.75" customHeight="1" x14ac:dyDescent="0.2">
      <c r="B76" s="58" t="s">
        <v>55</v>
      </c>
      <c r="C76" s="59"/>
      <c r="D76" s="59"/>
      <c r="E76" s="60"/>
      <c r="F76" s="25">
        <f>1230236915.48</f>
        <v>1230236915.48</v>
      </c>
      <c r="G76" s="25">
        <f>204779669.65</f>
        <v>204779669.65000001</v>
      </c>
      <c r="H76" s="25">
        <f>0</f>
        <v>0</v>
      </c>
      <c r="I76" s="25">
        <f>0</f>
        <v>0</v>
      </c>
      <c r="J76" s="25">
        <f>204779669.65</f>
        <v>204779669.65000001</v>
      </c>
      <c r="K76" s="25">
        <f>0</f>
        <v>0</v>
      </c>
      <c r="L76" s="25">
        <f>1025457245.83</f>
        <v>1025457245.83</v>
      </c>
    </row>
    <row r="77" spans="1:13" ht="33.75" customHeight="1" x14ac:dyDescent="0.2">
      <c r="B77" s="58" t="s">
        <v>56</v>
      </c>
      <c r="C77" s="59"/>
      <c r="D77" s="59"/>
      <c r="E77" s="60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58" t="s">
        <v>57</v>
      </c>
      <c r="C78" s="59"/>
      <c r="D78" s="59"/>
      <c r="E78" s="60"/>
      <c r="F78" s="25">
        <f>24764432</f>
        <v>24764432</v>
      </c>
      <c r="G78" s="25">
        <f>24764432</f>
        <v>24764432</v>
      </c>
      <c r="H78" s="25">
        <f>0</f>
        <v>0</v>
      </c>
      <c r="I78" s="25">
        <f>0</f>
        <v>0</v>
      </c>
      <c r="J78" s="25">
        <f>24764432</f>
        <v>24764432</v>
      </c>
      <c r="K78" s="25">
        <f>0</f>
        <v>0</v>
      </c>
      <c r="L78" s="25">
        <f>0</f>
        <v>0</v>
      </c>
    </row>
    <row r="79" spans="1:13" ht="22.5" customHeight="1" x14ac:dyDescent="0.2">
      <c r="B79" s="58" t="s">
        <v>58</v>
      </c>
      <c r="C79" s="59"/>
      <c r="D79" s="59"/>
      <c r="E79" s="60"/>
      <c r="F79" s="25">
        <f>22839655.08</f>
        <v>22839655.079999998</v>
      </c>
      <c r="G79" s="25">
        <f>12625675.84</f>
        <v>12625675.84</v>
      </c>
      <c r="H79" s="25">
        <f>0</f>
        <v>0</v>
      </c>
      <c r="I79" s="25">
        <f>0</f>
        <v>0</v>
      </c>
      <c r="J79" s="25">
        <f>12625675.84</f>
        <v>12625675.84</v>
      </c>
      <c r="K79" s="25">
        <f>0</f>
        <v>0</v>
      </c>
      <c r="L79" s="25">
        <f>10213979.24</f>
        <v>10213979.24</v>
      </c>
    </row>
    <row r="80" spans="1:13" ht="33.75" customHeight="1" x14ac:dyDescent="0.2">
      <c r="B80" s="58" t="s">
        <v>59</v>
      </c>
      <c r="C80" s="59"/>
      <c r="D80" s="59"/>
      <c r="E80" s="60"/>
      <c r="F80" s="25">
        <f>1959000.28</f>
        <v>1959000.28</v>
      </c>
      <c r="G80" s="25">
        <f>1112494.61</f>
        <v>1112494.6100000001</v>
      </c>
      <c r="H80" s="25">
        <f>0</f>
        <v>0</v>
      </c>
      <c r="I80" s="25">
        <f>0</f>
        <v>0</v>
      </c>
      <c r="J80" s="25">
        <f>1112494.61</f>
        <v>1112494.6100000001</v>
      </c>
      <c r="K80" s="25">
        <f>0</f>
        <v>0</v>
      </c>
      <c r="L80" s="25">
        <f>846505.67</f>
        <v>846505.67</v>
      </c>
    </row>
    <row r="81" spans="1:13" ht="33.75" customHeight="1" x14ac:dyDescent="0.2">
      <c r="B81" s="58" t="s">
        <v>60</v>
      </c>
      <c r="C81" s="59"/>
      <c r="D81" s="59"/>
      <c r="E81" s="60"/>
      <c r="F81" s="25">
        <f>5283371</f>
        <v>5283371</v>
      </c>
      <c r="G81" s="25">
        <f>2875683</f>
        <v>2875683</v>
      </c>
      <c r="H81" s="25">
        <f>0</f>
        <v>0</v>
      </c>
      <c r="I81" s="25">
        <f>0</f>
        <v>0</v>
      </c>
      <c r="J81" s="25">
        <f>2875683</f>
        <v>2875683</v>
      </c>
      <c r="K81" s="25">
        <f>0</f>
        <v>0</v>
      </c>
      <c r="L81" s="25">
        <f>2407688</f>
        <v>2407688</v>
      </c>
    </row>
    <row r="82" spans="1:13" ht="33" customHeight="1" x14ac:dyDescent="0.2">
      <c r="B82" s="58" t="s">
        <v>61</v>
      </c>
      <c r="C82" s="59"/>
      <c r="D82" s="59"/>
      <c r="E82" s="60"/>
      <c r="F82" s="25">
        <f>1621714.42</f>
        <v>1621714.42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1621714.42</f>
        <v>1621714.42</v>
      </c>
    </row>
    <row r="85" spans="1:13" ht="60" customHeight="1" x14ac:dyDescent="0.2">
      <c r="A85" s="37" t="str">
        <f>CONCATENATE("Informacja z wykonania budżetów województw za  ",$C$93," ",$B$94," roku    ",$B$96,"")</f>
        <v xml:space="preserve">Informacja z wykonania budżetów województw za  I Kwartał 2023 roku    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</row>
    <row r="86" spans="1:13" ht="13.5" customHeight="1" x14ac:dyDescent="0.2">
      <c r="B86" s="4"/>
    </row>
    <row r="87" spans="1:13" ht="13.5" customHeight="1" x14ac:dyDescent="0.2">
      <c r="B87" s="5"/>
      <c r="C87" s="27"/>
      <c r="D87" s="56"/>
      <c r="E87" s="56"/>
      <c r="F87" s="57"/>
      <c r="G87" s="27" t="s">
        <v>3</v>
      </c>
      <c r="H87" s="57"/>
      <c r="I87" s="27" t="s">
        <v>4</v>
      </c>
      <c r="J87" s="57"/>
      <c r="K87" s="5"/>
    </row>
    <row r="88" spans="1:13" ht="18" customHeight="1" x14ac:dyDescent="0.2">
      <c r="B88" s="6"/>
      <c r="C88" s="58" t="s">
        <v>5</v>
      </c>
      <c r="D88" s="59"/>
      <c r="E88" s="59"/>
      <c r="F88" s="60"/>
      <c r="G88" s="52">
        <f>16</f>
        <v>16</v>
      </c>
      <c r="H88" s="53"/>
      <c r="I88" s="54">
        <f>2470295146.19</f>
        <v>2470295146.1900001</v>
      </c>
      <c r="J88" s="55"/>
      <c r="K88" s="7"/>
    </row>
    <row r="89" spans="1:13" ht="22.5" customHeight="1" x14ac:dyDescent="0.2">
      <c r="B89" s="6"/>
      <c r="C89" s="58" t="s">
        <v>6</v>
      </c>
      <c r="D89" s="59"/>
      <c r="E89" s="59"/>
      <c r="F89" s="60"/>
      <c r="G89" s="52">
        <f>0</f>
        <v>0</v>
      </c>
      <c r="H89" s="53"/>
      <c r="I89" s="54">
        <f>0</f>
        <v>0</v>
      </c>
      <c r="J89" s="55"/>
      <c r="K89" s="7"/>
    </row>
    <row r="90" spans="1:13" ht="21" customHeight="1" x14ac:dyDescent="0.2">
      <c r="B90" s="6"/>
      <c r="C90" s="58" t="s">
        <v>7</v>
      </c>
      <c r="D90" s="59"/>
      <c r="E90" s="59"/>
      <c r="F90" s="60"/>
      <c r="G90" s="52">
        <f>0</f>
        <v>0</v>
      </c>
      <c r="H90" s="53"/>
      <c r="I90" s="54">
        <f>0</f>
        <v>0</v>
      </c>
      <c r="J90" s="55"/>
      <c r="K90" s="7"/>
    </row>
    <row r="93" spans="1:13" ht="13.5" customHeight="1" x14ac:dyDescent="0.2">
      <c r="A93" s="8" t="s">
        <v>8</v>
      </c>
      <c r="B93" s="8">
        <f>1</f>
        <v>1</v>
      </c>
      <c r="C93" s="8" t="str">
        <f>IF(B93=1,"I Kwartał",IF(B93=2,"II Kwartały",IF(B93=3,"III Kwartały",IF(B93=4,"IV Kwartały","-"))))</f>
        <v>I Kwartał</v>
      </c>
    </row>
    <row r="94" spans="1:13" ht="13.5" customHeight="1" x14ac:dyDescent="0.2">
      <c r="A94" s="8" t="s">
        <v>9</v>
      </c>
      <c r="B94" s="8">
        <f>2023</f>
        <v>2023</v>
      </c>
      <c r="C94" s="9"/>
    </row>
    <row r="95" spans="1:13" ht="13.5" customHeight="1" x14ac:dyDescent="0.2">
      <c r="A95" s="8" t="s">
        <v>10</v>
      </c>
      <c r="B95" s="10" t="str">
        <f>"May 26 2023 12:00AM"</f>
        <v>May 26 2023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A33:A37"/>
    <mergeCell ref="C34:C37"/>
    <mergeCell ref="E34:E37"/>
    <mergeCell ref="B33:B37"/>
    <mergeCell ref="B12:Q12"/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J34:J37"/>
    <mergeCell ref="H70:H73"/>
    <mergeCell ref="I70:I73"/>
    <mergeCell ref="J70:J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2023-06-01T13:56:15Z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UxC4dwLulzfINJ8nQH+xvX5LNGipWa4BRSZhPgxsCvkoSyW6oxOIkannjhetQWewJxpKYDbHrFlkYqkjpcojww==</vt:lpwstr>
  </property>
  <property fmtid="{D5CDD505-2E9C-101B-9397-08002B2CF9AE}" pid="4" name="MFClassificationDate">
    <vt:lpwstr>2023-06-01T15:41:10.7747479+02:00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GRN-5af89266-b15d-4911-9d8c-7272551c94d3</vt:lpwstr>
  </property>
  <property fmtid="{D5CDD505-2E9C-101B-9397-08002B2CF9AE}" pid="7" name="MFHash">
    <vt:lpwstr>U3U5il5YR5FDlXaHotPbYYm/wMPXN6ke+PhzXIyPU68=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