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2D96AE2E-7529-4FED-B4AD-775FD4CDD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J26" i="4" l="1"/>
  <c r="J22" i="4"/>
  <c r="J39" i="4"/>
  <c r="J36" i="4"/>
  <c r="J9" i="4"/>
  <c r="J32" i="4"/>
  <c r="J11" i="4"/>
  <c r="J6" i="4"/>
  <c r="J28" i="4"/>
  <c r="J21" i="4"/>
  <c r="J18" i="4"/>
  <c r="J10" i="4"/>
  <c r="J34" i="4"/>
  <c r="J33" i="4"/>
  <c r="J16" i="4"/>
  <c r="J35" i="4"/>
  <c r="J17" i="4"/>
  <c r="J15" i="4"/>
  <c r="J30" i="4"/>
  <c r="J20" i="4"/>
  <c r="J19" i="4"/>
  <c r="D59" i="4"/>
  <c r="J29" i="4"/>
  <c r="J25" i="4"/>
  <c r="J8" i="4"/>
  <c r="J24" i="4"/>
  <c r="D38" i="4"/>
  <c r="D40" i="4" s="1"/>
  <c r="J40" i="4" s="1"/>
  <c r="J23" i="4"/>
  <c r="J27" i="4"/>
  <c r="J31" i="4"/>
  <c r="K80" i="4"/>
  <c r="K8" i="4"/>
  <c r="K22" i="4"/>
  <c r="K33" i="4"/>
  <c r="K51" i="4"/>
  <c r="K68" i="4"/>
  <c r="K11" i="4"/>
  <c r="K81" i="4"/>
  <c r="K23" i="4"/>
  <c r="K34" i="4"/>
  <c r="K69" i="4"/>
  <c r="K15" i="4"/>
  <c r="K26" i="4"/>
  <c r="D14" i="4"/>
  <c r="D13" i="4" s="1"/>
  <c r="D7" i="4" s="1"/>
  <c r="L7" i="4" s="1"/>
  <c r="C52" i="4"/>
  <c r="C58" i="4" s="1"/>
  <c r="K16" i="4"/>
  <c r="K27" i="4"/>
  <c r="J54" i="4"/>
  <c r="J51" i="4"/>
  <c r="J53" i="4"/>
  <c r="J50" i="4"/>
  <c r="J56" i="4"/>
  <c r="J49" i="4"/>
  <c r="J57" i="4"/>
  <c r="K57" i="4"/>
  <c r="K74" i="4"/>
  <c r="D96" i="4"/>
  <c r="B1" i="4" s="1"/>
  <c r="C14" i="4"/>
  <c r="C13" i="4" s="1"/>
  <c r="K28" i="4"/>
  <c r="K75" i="4"/>
  <c r="K20" i="4"/>
  <c r="K54" i="4"/>
  <c r="K29" i="4"/>
  <c r="H52" i="4"/>
  <c r="H58" i="4" s="1"/>
  <c r="K76" i="4"/>
  <c r="K6" i="4"/>
  <c r="C59" i="4"/>
  <c r="C38" i="4"/>
  <c r="C40" i="4" s="1"/>
  <c r="K21" i="4"/>
  <c r="K32" i="4"/>
  <c r="K67" i="4"/>
  <c r="K35" i="4"/>
  <c r="I52" i="4"/>
  <c r="I58" i="4" s="1"/>
  <c r="K56" i="4"/>
  <c r="K70" i="4"/>
  <c r="J79" i="4"/>
  <c r="K50" i="4"/>
  <c r="K77" i="4"/>
  <c r="K9" i="4"/>
  <c r="K18" i="4"/>
  <c r="K24" i="4"/>
  <c r="K30" i="4"/>
  <c r="K36" i="4"/>
  <c r="K65" i="4"/>
  <c r="K71" i="4"/>
  <c r="E52" i="4"/>
  <c r="E58" i="4" s="1"/>
  <c r="K53" i="4"/>
  <c r="J68" i="4"/>
  <c r="J70" i="4"/>
  <c r="J75" i="4"/>
  <c r="J65" i="4"/>
  <c r="J66" i="4"/>
  <c r="K78" i="4"/>
  <c r="K10" i="4"/>
  <c r="K19" i="4"/>
  <c r="K25" i="4"/>
  <c r="K31" i="4"/>
  <c r="K39" i="4"/>
  <c r="F52" i="4"/>
  <c r="F58" i="4" s="1"/>
  <c r="K66" i="4"/>
  <c r="K72" i="4"/>
  <c r="G52" i="4"/>
  <c r="G58" i="4" s="1"/>
  <c r="K55" i="4"/>
  <c r="K79" i="4"/>
  <c r="J78" i="4"/>
  <c r="J77" i="4"/>
  <c r="J80" i="4"/>
  <c r="K17" i="4"/>
  <c r="J81" i="4"/>
  <c r="J76" i="4"/>
  <c r="J67" i="4"/>
  <c r="J74" i="4"/>
  <c r="J73" i="4"/>
  <c r="J71" i="4"/>
  <c r="K49" i="4"/>
  <c r="J72" i="4"/>
  <c r="D52" i="4"/>
  <c r="D58" i="4" s="1"/>
  <c r="J58" i="4" s="1"/>
  <c r="J69" i="4"/>
  <c r="J55" i="4"/>
  <c r="K58" i="4" l="1"/>
  <c r="J52" i="4"/>
  <c r="B42" i="4"/>
  <c r="B61" i="4"/>
  <c r="K13" i="4"/>
  <c r="C7" i="4"/>
  <c r="K14" i="4"/>
  <c r="J14" i="4"/>
  <c r="L10" i="4"/>
  <c r="L9" i="4"/>
  <c r="J13" i="4"/>
  <c r="J7" i="4"/>
  <c r="K40" i="4"/>
  <c r="J38" i="4"/>
  <c r="K38" i="4"/>
  <c r="D12" i="4"/>
  <c r="J12" i="4" s="1"/>
  <c r="L11" i="4"/>
  <c r="K52" i="4"/>
  <c r="L8" i="4"/>
  <c r="K7" i="4"/>
  <c r="C12" i="4"/>
  <c r="K12" i="4" l="1"/>
  <c r="L12" i="4"/>
</calcChain>
</file>

<file path=xl/sharedStrings.xml><?xml version="1.0" encoding="utf-8"?>
<sst xmlns="http://schemas.openxmlformats.org/spreadsheetml/2006/main" count="372" uniqueCount="96">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</sst>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99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",$D$96," ",$C$97," rok    ",$C$99,"")</f>
        <v>Informacja z wykonania budżetów związków jednostek samorządu terytorialnego za I Kwartał 2024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19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19"/>
      <c r="C4" s="125" t="s">
        <v>40</v>
      </c>
      <c r="D4" s="127"/>
      <c r="E4" s="128" t="s">
        <v>79</v>
      </c>
      <c r="F4" s="129"/>
      <c r="G4" s="129"/>
      <c r="H4" s="129"/>
      <c r="I4" s="130"/>
      <c r="J4" s="125" t="s">
        <v>4</v>
      </c>
      <c r="K4" s="126"/>
      <c r="L4" s="127"/>
    </row>
    <row r="5" spans="2:12" x14ac:dyDescent="0.2">
      <c r="B5" s="41">
        <v>1</v>
      </c>
      <c r="C5" s="40">
        <v>2</v>
      </c>
      <c r="D5" s="40">
        <v>3</v>
      </c>
      <c r="E5" s="131"/>
      <c r="F5" s="132"/>
      <c r="G5" s="132"/>
      <c r="H5" s="132"/>
      <c r="I5" s="133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5075439812.46</f>
        <v>5075439812.46</v>
      </c>
      <c r="D6" s="51">
        <f>1178671966.95</f>
        <v>1178671966.95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23.223050819288762</v>
      </c>
      <c r="L6" s="52"/>
    </row>
    <row r="7" spans="2:12" ht="27" customHeight="1" x14ac:dyDescent="0.2">
      <c r="B7" s="94" t="s">
        <v>27</v>
      </c>
      <c r="C7" s="15">
        <f>C6-C13</f>
        <v>4287155487.0999999</v>
      </c>
      <c r="D7" s="15">
        <f>D6-D13</f>
        <v>1080365715.3500001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91.659574982988445</v>
      </c>
      <c r="K7" s="19">
        <f t="shared" si="1"/>
        <v>25.200059074153195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522744586</f>
        <v>522744586</v>
      </c>
      <c r="D8" s="54">
        <f>130686144</f>
        <v>130686144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11.08757548023909</v>
      </c>
      <c r="K8" s="20">
        <f t="shared" si="1"/>
        <v>24.999999521754969</v>
      </c>
      <c r="L8" s="20">
        <f t="shared" si="2"/>
        <v>12.096472716894976</v>
      </c>
    </row>
    <row r="9" spans="2:12" ht="22.5" outlineLevel="1" x14ac:dyDescent="0.2">
      <c r="B9" s="56" t="s">
        <v>68</v>
      </c>
      <c r="C9" s="53">
        <f>1479684563.15</f>
        <v>1479684563.1500001</v>
      </c>
      <c r="D9" s="54">
        <f>381218501.65</f>
        <v>381218501.64999998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32.343053227647644</v>
      </c>
      <c r="K9" s="20">
        <f t="shared" si="1"/>
        <v>25.763497920019507</v>
      </c>
      <c r="L9" s="20">
        <f t="shared" si="2"/>
        <v>35.286060658311314</v>
      </c>
    </row>
    <row r="10" spans="2:12" ht="33.75" outlineLevel="1" x14ac:dyDescent="0.2">
      <c r="B10" s="56" t="s">
        <v>85</v>
      </c>
      <c r="C10" s="53">
        <f>884723644.89</f>
        <v>884723644.88999999</v>
      </c>
      <c r="D10" s="54">
        <f>233651936</f>
        <v>233651936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19.823321717289272</v>
      </c>
      <c r="K10" s="20">
        <f t="shared" si="1"/>
        <v>26.409595510364205</v>
      </c>
      <c r="L10" s="20">
        <f t="shared" si="2"/>
        <v>21.627115029682802</v>
      </c>
    </row>
    <row r="11" spans="2:12" ht="12.75" customHeight="1" outlineLevel="1" x14ac:dyDescent="0.2">
      <c r="B11" s="56" t="s">
        <v>19</v>
      </c>
      <c r="C11" s="53">
        <f>80358854.8</f>
        <v>80358854.799999997</v>
      </c>
      <c r="D11" s="54">
        <f>20450342.42</f>
        <v>20450342.420000002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1.7350325615123006</v>
      </c>
      <c r="K11" s="20">
        <f t="shared" si="1"/>
        <v>25.448772846374613</v>
      </c>
      <c r="L11" s="20">
        <f t="shared" si="2"/>
        <v>1.8929092370702283</v>
      </c>
    </row>
    <row r="12" spans="2:12" ht="12.75" customHeight="1" outlineLevel="1" x14ac:dyDescent="0.2">
      <c r="B12" s="56" t="s">
        <v>20</v>
      </c>
      <c r="C12" s="53">
        <f>C7-SUM(C8:C11)</f>
        <v>1319643838.2599998</v>
      </c>
      <c r="D12" s="53">
        <f>D7-SUM(D8:D11)</f>
        <v>314358791.28000021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26.670591996300146</v>
      </c>
      <c r="K12" s="20">
        <f t="shared" si="1"/>
        <v>23.821487447286849</v>
      </c>
      <c r="L12" s="20">
        <f t="shared" si="2"/>
        <v>29.097442358040688</v>
      </c>
    </row>
    <row r="13" spans="2:12" ht="27" customHeight="1" x14ac:dyDescent="0.2">
      <c r="B13" s="95" t="s">
        <v>59</v>
      </c>
      <c r="C13" s="51">
        <f>C14+C33+C35</f>
        <v>788284325.36000013</v>
      </c>
      <c r="D13" s="51">
        <f>D14+D33+D35</f>
        <v>98306251.599999994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8.3404250170115581</v>
      </c>
      <c r="K13" s="52">
        <f t="shared" si="1"/>
        <v>12.470912897463069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702231285.59000003</v>
      </c>
      <c r="D14" s="51">
        <f>D15+D17+D19+D21+D23+D25+D27+D29+D31</f>
        <v>85914835.170000002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7.2891217895270906</v>
      </c>
      <c r="K14" s="52">
        <f t="shared" si="1"/>
        <v>12.234549632435723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5000000</f>
        <v>5000000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>
        <f t="shared" si="1"/>
        <v>0</v>
      </c>
      <c r="L17" s="17"/>
    </row>
    <row r="18" spans="2:12" ht="12.75" customHeight="1" outlineLevel="1" x14ac:dyDescent="0.2">
      <c r="B18" s="98" t="s">
        <v>6</v>
      </c>
      <c r="C18" s="53">
        <f>5000000</f>
        <v>5000000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>
        <f t="shared" si="1"/>
        <v>0</v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30137248.6</f>
        <v>30137248.600000001</v>
      </c>
      <c r="D21" s="53">
        <f>7665553.65</f>
        <v>7665553.6500000004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0.65035513399337319</v>
      </c>
      <c r="K21" s="20">
        <f t="shared" si="1"/>
        <v>25.435479368876425</v>
      </c>
      <c r="L21" s="17"/>
    </row>
    <row r="22" spans="2:12" ht="12.75" customHeight="1" outlineLevel="1" x14ac:dyDescent="0.2">
      <c r="B22" s="98" t="s">
        <v>6</v>
      </c>
      <c r="C22" s="53">
        <f>1052955.6</f>
        <v>1052955.6000000001</v>
      </c>
      <c r="D22" s="53">
        <f>35530.32</f>
        <v>35530.32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3.0144366707846896E-3</v>
      </c>
      <c r="K22" s="20">
        <f t="shared" si="1"/>
        <v>3.3743417101347859</v>
      </c>
      <c r="L22" s="17"/>
    </row>
    <row r="23" spans="2:12" ht="34.5" customHeight="1" outlineLevel="1" x14ac:dyDescent="0.2">
      <c r="B23" s="99" t="s">
        <v>41</v>
      </c>
      <c r="C23" s="53">
        <f>10315604.5</f>
        <v>10315604.5</v>
      </c>
      <c r="D23" s="53">
        <f>1051408.55</f>
        <v>1051408.55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8.9202812952333607E-2</v>
      </c>
      <c r="K23" s="20">
        <f t="shared" si="1"/>
        <v>10.192408501120802</v>
      </c>
      <c r="L23" s="17"/>
    </row>
    <row r="24" spans="2:12" ht="12.75" customHeight="1" outlineLevel="1" x14ac:dyDescent="0.2">
      <c r="B24" s="98" t="s">
        <v>6</v>
      </c>
      <c r="C24" s="53">
        <f>9531831.5</f>
        <v>9531831.5</v>
      </c>
      <c r="D24" s="53">
        <f>899529.19</f>
        <v>899529.19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7.6317178589363918E-2</v>
      </c>
      <c r="K24" s="20">
        <f t="shared" si="1"/>
        <v>9.4371075485335627</v>
      </c>
      <c r="L24" s="17"/>
    </row>
    <row r="25" spans="2:12" ht="12.75" customHeight="1" outlineLevel="1" x14ac:dyDescent="0.2">
      <c r="B25" s="96" t="s">
        <v>8</v>
      </c>
      <c r="C25" s="53">
        <f>3970163</f>
        <v>3970163</v>
      </c>
      <c r="D25" s="53">
        <f>647130</f>
        <v>647130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5.4903316456617793E-2</v>
      </c>
      <c r="K25" s="20">
        <f t="shared" si="1"/>
        <v>16.29983454079845</v>
      </c>
      <c r="L25" s="17"/>
    </row>
    <row r="26" spans="2:12" ht="12.75" customHeight="1" outlineLevel="1" x14ac:dyDescent="0.2">
      <c r="B26" s="98" t="s">
        <v>6</v>
      </c>
      <c r="C26" s="53">
        <f>3970163</f>
        <v>3970163</v>
      </c>
      <c r="D26" s="53">
        <f>587640</f>
        <v>587640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4.9856110646341351E-2</v>
      </c>
      <c r="K26" s="20">
        <f t="shared" si="1"/>
        <v>14.801407398134534</v>
      </c>
      <c r="L26" s="17"/>
    </row>
    <row r="27" spans="2:12" ht="67.5" outlineLevel="1" x14ac:dyDescent="0.2">
      <c r="B27" s="100" t="s">
        <v>70</v>
      </c>
      <c r="C27" s="53">
        <f>0</f>
        <v>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 t="str">
        <f t="shared" si="1"/>
        <v/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652808269.49</f>
        <v>652808269.49000001</v>
      </c>
      <c r="D29" s="53">
        <f>76550742.97</f>
        <v>76550742.969999999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6.4946605261247656</v>
      </c>
      <c r="K29" s="66">
        <f t="shared" si="1"/>
        <v>11.726374580059243</v>
      </c>
      <c r="L29" s="17"/>
    </row>
    <row r="30" spans="2:12" ht="12.75" customHeight="1" outlineLevel="1" x14ac:dyDescent="0.2">
      <c r="B30" s="98" t="s">
        <v>6</v>
      </c>
      <c r="C30" s="53">
        <f>652808269.49</f>
        <v>652808269.49000001</v>
      </c>
      <c r="D30" s="53">
        <f>76550742.97</f>
        <v>76550742.969999999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6.4946605261247656</v>
      </c>
      <c r="K30" s="20">
        <f t="shared" si="1"/>
        <v>11.726374580059243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438080.2</f>
        <v>438080.2</v>
      </c>
      <c r="D33" s="53">
        <f>0</f>
        <v>0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</v>
      </c>
      <c r="K33" s="19">
        <f t="shared" si="1"/>
        <v>0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109516.11</f>
        <v>109516.11</v>
      </c>
      <c r="D34" s="53">
        <f>0</f>
        <v>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</v>
      </c>
      <c r="K34" s="20">
        <f t="shared" si="1"/>
        <v>0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85614959.57</f>
        <v>85614959.569999993</v>
      </c>
      <c r="D35" s="53">
        <f>12391416.43</f>
        <v>12391416.43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1.0513032274844669</v>
      </c>
      <c r="K35" s="57">
        <f t="shared" si="1"/>
        <v>14.473424378444756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69010151.15</f>
        <v>69010151.150000006</v>
      </c>
      <c r="D36" s="53">
        <f>9986688.83</f>
        <v>9986688.8300000001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0.84728313814420608</v>
      </c>
      <c r="K36" s="20">
        <f t="shared" si="1"/>
        <v>14.471333077206278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5075439812.46</v>
      </c>
      <c r="D38" s="51">
        <f>+D6</f>
        <v>1178671966.95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23.223050819288762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927631221.34</f>
        <v>927631221.34000003</v>
      </c>
      <c r="D39" s="14">
        <f>143746277.8</f>
        <v>143746277.80000001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12.195613523579951</v>
      </c>
      <c r="K39" s="20">
        <f t="shared" si="1"/>
        <v>15.49605861609022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4147808591.1199999</v>
      </c>
      <c r="D40" s="14">
        <f>D38-D39</f>
        <v>1034925689.1500001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87.804386476420063</v>
      </c>
      <c r="K40" s="20">
        <f t="shared" si="1"/>
        <v>24.951143873072198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",$D$96," ",$C$97," rok        ",$C$99,"")</f>
        <v>Informacja z wykonania budżetów związków jednostek samorządu terytorialnego za I Kwartał 2024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19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50" t="s">
        <v>53</v>
      </c>
      <c r="J44" s="135" t="s">
        <v>2</v>
      </c>
      <c r="K44" s="149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19"/>
      <c r="C45" s="135"/>
      <c r="D45" s="135"/>
      <c r="E45" s="121"/>
      <c r="F45" s="120" t="s">
        <v>54</v>
      </c>
      <c r="G45" s="137" t="s">
        <v>23</v>
      </c>
      <c r="H45" s="121"/>
      <c r="I45" s="151"/>
      <c r="J45" s="135"/>
      <c r="K45" s="149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19"/>
      <c r="C46" s="135"/>
      <c r="D46" s="135"/>
      <c r="E46" s="121"/>
      <c r="F46" s="121"/>
      <c r="G46" s="38" t="s">
        <v>55</v>
      </c>
      <c r="H46" s="38" t="s">
        <v>56</v>
      </c>
      <c r="I46" s="152"/>
      <c r="J46" s="135"/>
      <c r="K46" s="149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19"/>
      <c r="C47" s="125" t="s">
        <v>40</v>
      </c>
      <c r="D47" s="126"/>
      <c r="E47" s="126"/>
      <c r="F47" s="126"/>
      <c r="G47" s="126"/>
      <c r="H47" s="126"/>
      <c r="I47" s="127"/>
      <c r="J47" s="134" t="s">
        <v>4</v>
      </c>
      <c r="K47" s="134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5529780404.09</f>
        <v>5529780404.0900002</v>
      </c>
      <c r="D49" s="68">
        <f>990703205.07</f>
        <v>990703205.07000005</v>
      </c>
      <c r="E49" s="68">
        <f>2224922836.59</f>
        <v>2224922836.5900002</v>
      </c>
      <c r="F49" s="58">
        <f>253030458.11</f>
        <v>253030458.11000001</v>
      </c>
      <c r="G49" s="58">
        <f>20261620.31</f>
        <v>20261620.309999999</v>
      </c>
      <c r="H49" s="58">
        <f>37234</f>
        <v>37234</v>
      </c>
      <c r="I49" s="77">
        <f>0</f>
        <v>0</v>
      </c>
      <c r="J49" s="34">
        <f>IF($D$49=0,"",100*$D49/$D$49)</f>
        <v>100</v>
      </c>
      <c r="K49" s="34">
        <f>IF(C49=0,"",100*D49/C49)</f>
        <v>17.915778433755609</v>
      </c>
      <c r="L49" s="22"/>
      <c r="M49" s="74"/>
    </row>
    <row r="50" spans="2:16" x14ac:dyDescent="0.2">
      <c r="B50" s="94" t="s">
        <v>14</v>
      </c>
      <c r="C50" s="16">
        <f>1408813056.68</f>
        <v>1408813056.6800001</v>
      </c>
      <c r="D50" s="16">
        <f>130175468.78</f>
        <v>130175468.78</v>
      </c>
      <c r="E50" s="16">
        <f>445285462.52</f>
        <v>445285462.51999998</v>
      </c>
      <c r="F50" s="16">
        <f>12022027.8</f>
        <v>12022027.800000001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13.139704011637088</v>
      </c>
      <c r="K50" s="34">
        <f t="shared" ref="K50:K58" si="4">IF(C50=0,"",100*D50/C50)</f>
        <v>9.2400810854756479</v>
      </c>
      <c r="L50" s="22"/>
      <c r="M50" s="76"/>
    </row>
    <row r="51" spans="2:16" ht="12.75" customHeight="1" outlineLevel="1" x14ac:dyDescent="0.2">
      <c r="B51" s="56" t="s">
        <v>13</v>
      </c>
      <c r="C51" s="53">
        <f>1408581017.62</f>
        <v>1408581017.6199999</v>
      </c>
      <c r="D51" s="53">
        <f>130171468.78</f>
        <v>130171468.78</v>
      </c>
      <c r="E51" s="53">
        <f>445281462.52</f>
        <v>445281462.51999998</v>
      </c>
      <c r="F51" s="53">
        <f>12022027.8</f>
        <v>12022027.800000001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13.13930025802253</v>
      </c>
      <c r="K51" s="34">
        <f t="shared" si="4"/>
        <v>9.2413192533251234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4120967347.4099998</v>
      </c>
      <c r="D52" s="67">
        <f>D49-D50</f>
        <v>860527736.29000008</v>
      </c>
      <c r="E52" s="67">
        <f>E49-E50</f>
        <v>1779637374.0700002</v>
      </c>
      <c r="F52" s="59">
        <f t="shared" si="5"/>
        <v>241008430.31</v>
      </c>
      <c r="G52" s="59">
        <f t="shared" si="5"/>
        <v>20261620.309999999</v>
      </c>
      <c r="H52" s="59">
        <f t="shared" si="5"/>
        <v>37234</v>
      </c>
      <c r="I52" s="78">
        <f t="shared" si="5"/>
        <v>0</v>
      </c>
      <c r="J52" s="34">
        <f t="shared" si="3"/>
        <v>86.860295988362921</v>
      </c>
      <c r="K52" s="34">
        <f t="shared" si="4"/>
        <v>20.881692664486557</v>
      </c>
      <c r="L52" s="22"/>
      <c r="M52" s="76"/>
    </row>
    <row r="53" spans="2:16" ht="22.5" outlineLevel="1" x14ac:dyDescent="0.2">
      <c r="B53" s="56" t="s">
        <v>72</v>
      </c>
      <c r="C53" s="53">
        <f>319367457.27</f>
        <v>319367457.26999998</v>
      </c>
      <c r="D53" s="53">
        <f>77524761.77</f>
        <v>77524761.769999996</v>
      </c>
      <c r="E53" s="53">
        <f>220477783.74</f>
        <v>220477783.74000001</v>
      </c>
      <c r="F53" s="53">
        <f>10400865.95</f>
        <v>10400865.949999999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7.8252256955727058</v>
      </c>
      <c r="K53" s="34">
        <f t="shared" si="4"/>
        <v>24.274471304212732</v>
      </c>
      <c r="L53" s="22"/>
      <c r="M53" s="75"/>
    </row>
    <row r="54" spans="2:16" ht="12.75" customHeight="1" outlineLevel="1" x14ac:dyDescent="0.2">
      <c r="B54" s="56" t="s">
        <v>26</v>
      </c>
      <c r="C54" s="61">
        <f>128032440.04</f>
        <v>128032440.04000001</v>
      </c>
      <c r="D54" s="61">
        <f>51182995.18</f>
        <v>51182995.18</v>
      </c>
      <c r="E54" s="61">
        <f>80283329.87</f>
        <v>80283329.870000005</v>
      </c>
      <c r="F54" s="61">
        <f>766772.69</f>
        <v>766772.69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5.1663298269418201</v>
      </c>
      <c r="K54" s="34">
        <f t="shared" si="4"/>
        <v>39.976583406525222</v>
      </c>
      <c r="L54" s="22"/>
      <c r="M54" s="75"/>
    </row>
    <row r="55" spans="2:16" ht="12.75" customHeight="1" outlineLevel="1" x14ac:dyDescent="0.2">
      <c r="B55" s="56" t="s">
        <v>25</v>
      </c>
      <c r="C55" s="53">
        <f>20902041.94</f>
        <v>20902041.940000001</v>
      </c>
      <c r="D55" s="53">
        <f>4212312.25</f>
        <v>4212312.25</v>
      </c>
      <c r="E55" s="53">
        <f>8030802.81</f>
        <v>8030802.8099999996</v>
      </c>
      <c r="F55" s="53">
        <f>253265.02</f>
        <v>253265.02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0.42518407414482634</v>
      </c>
      <c r="K55" s="34">
        <f t="shared" si="4"/>
        <v>20.15263514488958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2810090</f>
        <v>2810090</v>
      </c>
      <c r="D57" s="61">
        <f>334258.97</f>
        <v>334258.96999999997</v>
      </c>
      <c r="E57" s="61">
        <f>922605</f>
        <v>922605</v>
      </c>
      <c r="F57" s="61">
        <f>72939.59</f>
        <v>72939.59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3.3739566833881622E-2</v>
      </c>
      <c r="K57" s="34">
        <f t="shared" si="4"/>
        <v>11.89495603343665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3649855318.1599998</v>
      </c>
      <c r="D58" s="53">
        <f>D52-D53-D54-D55-D56-D57</f>
        <v>727273408.12000012</v>
      </c>
      <c r="E58" s="71">
        <f>E52-E53-E54-E55-E56-E57</f>
        <v>1469922852.6500001</v>
      </c>
      <c r="F58" s="71">
        <f t="shared" si="6"/>
        <v>229514587.06</v>
      </c>
      <c r="G58" s="71">
        <f t="shared" si="6"/>
        <v>20261620.309999999</v>
      </c>
      <c r="H58" s="71">
        <f t="shared" si="6"/>
        <v>37234</v>
      </c>
      <c r="I58" s="82">
        <f t="shared" si="6"/>
        <v>0</v>
      </c>
      <c r="J58" s="34">
        <f t="shared" si="3"/>
        <v>73.409816824869694</v>
      </c>
      <c r="K58" s="34">
        <f t="shared" si="4"/>
        <v>19.926088700048531</v>
      </c>
      <c r="L58" s="22"/>
      <c r="M58" s="75"/>
    </row>
    <row r="59" spans="2:16" x14ac:dyDescent="0.2">
      <c r="B59" s="93" t="s">
        <v>15</v>
      </c>
      <c r="C59" s="59">
        <f>C6-C49</f>
        <v>-454340591.63000011</v>
      </c>
      <c r="D59" s="67">
        <f>D6-D49</f>
        <v>187968761.88</v>
      </c>
      <c r="E59" s="72"/>
      <c r="F59" s="73"/>
      <c r="G59" s="73"/>
      <c r="H59" s="73"/>
      <c r="I59" s="136"/>
      <c r="J59" s="136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tr">
        <f>CONCATENATE("Informacja z wykonania budżetów związków jednostek samorządu terytorialnego za ",$D$96," ",$C$97," rok        ",$C$99,"")</f>
        <v>Informacja z wykonania budżetów związków jednostek samorządu terytorialnego za I Kwartał 2024 rok        =""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40" t="s">
        <v>79</v>
      </c>
      <c r="F62" s="141"/>
      <c r="G62" s="141"/>
      <c r="H62" s="141"/>
      <c r="I62" s="142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20" t="s">
        <v>40</v>
      </c>
      <c r="D63" s="122"/>
      <c r="E63" s="143"/>
      <c r="F63" s="144"/>
      <c r="G63" s="144"/>
      <c r="H63" s="144"/>
      <c r="I63" s="145"/>
      <c r="J63" s="153" t="s">
        <v>4</v>
      </c>
      <c r="K63" s="154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46"/>
      <c r="F64" s="147"/>
      <c r="G64" s="147"/>
      <c r="H64" s="147"/>
      <c r="I64" s="148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501610305.86</f>
        <v>501610305.86000001</v>
      </c>
      <c r="D65" s="27">
        <f>1070765815.51</f>
        <v>1070765815.51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213.46567305354606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34649166.92</f>
        <v>34649166.920000002</v>
      </c>
      <c r="D66" s="28">
        <f>683440.04</f>
        <v>683440.04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6.3827218809229647E-2</v>
      </c>
      <c r="K66" s="33">
        <f t="shared" si="7"/>
        <v>1.9724573510756143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0</f>
        <v>0</v>
      </c>
      <c r="D67" s="64">
        <f>0</f>
        <v>0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0</v>
      </c>
      <c r="K67" s="60" t="str">
        <f t="shared" si="7"/>
        <v/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750000</f>
        <v>750000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>
        <f t="shared" si="7"/>
        <v>0</v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412828345.99</f>
        <v>412828345.99000001</v>
      </c>
      <c r="D69" s="64">
        <f>939168046.75</f>
        <v>939168046.75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87.70993929262481</v>
      </c>
      <c r="K69" s="60">
        <f t="shared" si="7"/>
        <v>227.49601762393263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16438308.98</f>
        <v>16438308.98</v>
      </c>
      <c r="D70" s="64">
        <f>52150358.68</f>
        <v>52150358.68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4.8703794914447345</v>
      </c>
      <c r="K70" s="60">
        <f t="shared" si="7"/>
        <v>317.24892592936283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30496483.97</f>
        <v>30496483.969999999</v>
      </c>
      <c r="D72" s="64">
        <f>59518397.59</f>
        <v>59518397.590000004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5.5584887683075417</v>
      </c>
      <c r="K72" s="60">
        <f t="shared" si="7"/>
        <v>195.16478571283639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13683943.5</f>
        <v>13683943.5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1.2779585696319986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6448000</f>
        <v>6448000</v>
      </c>
      <c r="D74" s="64">
        <f>5561628.95</f>
        <v>5561628.9500000002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0.51940665918168349</v>
      </c>
      <c r="K74" s="60">
        <f>IF(C74=0,"",100*D74/C74)</f>
        <v>86.253550713399505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5948000</f>
        <v>5948000</v>
      </c>
      <c r="D75" s="64">
        <f>5500000</f>
        <v>5500000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0.51365106359698076</v>
      </c>
      <c r="K75" s="60">
        <f t="shared" si="7"/>
        <v>92.468056489576327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47269714.23</f>
        <v>47269714.229999997</v>
      </c>
      <c r="D76" s="31">
        <f>25257063.73</f>
        <v>25257063.73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53.431809651115806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41645228</f>
        <v>41645228</v>
      </c>
      <c r="D77" s="30">
        <f>7245390.88</f>
        <v>7245390.8799999999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28.686592224075603</v>
      </c>
      <c r="K77" s="33">
        <f t="shared" si="7"/>
        <v>17.397889813449936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750000</f>
        <v>750000</v>
      </c>
      <c r="D79" s="64">
        <f>0</f>
        <v>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</v>
      </c>
      <c r="K79" s="60">
        <f t="shared" si="7"/>
        <v>0</v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4874486.23</f>
        <v>4874486.2300000004</v>
      </c>
      <c r="D80" s="64">
        <f>18011672.85</f>
        <v>18011672.850000001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71.313407775924404</v>
      </c>
      <c r="K80" s="60">
        <f>IF(C80=0,"",100*D80/C80)</f>
        <v>369.50915440374524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0</f>
        <v>0</v>
      </c>
      <c r="D81" s="64">
        <f>0</f>
        <v>0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0</v>
      </c>
      <c r="K81" s="60" t="str">
        <f>IF(C81=0,"",100*D81/C81)</f>
        <v/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23" t="s">
        <v>40</v>
      </c>
      <c r="D84" s="124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474498891.58</f>
        <v>474498891.57999998</v>
      </c>
      <c r="D86" s="85">
        <f>0</f>
        <v>0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0</f>
        <v>0</v>
      </c>
      <c r="D87" s="84">
        <f>0</f>
        <v>0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32463436.92</f>
        <v>32463436.920000002</v>
      </c>
      <c r="D88" s="84">
        <f>0</f>
        <v>0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411633685.71</f>
        <v>411633685.70999998</v>
      </c>
      <c r="D90" s="84">
        <f>0</f>
        <v>0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11630979.97</f>
        <v>11630979.970000001</v>
      </c>
      <c r="D91" s="84">
        <f>0</f>
        <v>0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12822788.98</f>
        <v>12822788.98</v>
      </c>
      <c r="D92" s="84">
        <f>0</f>
        <v>0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5948000</f>
        <v>5948000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1</f>
        <v>1</v>
      </c>
      <c r="D96" s="114" t="str">
        <f>IF(C96=1,"I Kwartał",IF(C96=2,"II Kwartały",IF(C96=3,"III Kwartały",IF(C96=4,"IV Kwartały",IF(C96="M1","Styczeń",IF(C96="M11","Listopad",IF(C96="M12","Grudzień","-")))))))</f>
        <v>I Kwartał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2024</f>
        <v>2024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38" t="str">
        <f>"May 21 2024 12:00AM"</f>
        <v>May 21 2024 12:00AM</v>
      </c>
      <c r="D98" s="139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C98:D98"/>
    <mergeCell ref="E62:I64"/>
    <mergeCell ref="K44:K46"/>
    <mergeCell ref="B44:B47"/>
    <mergeCell ref="I44:I46"/>
    <mergeCell ref="J44:J46"/>
    <mergeCell ref="D44:D46"/>
    <mergeCell ref="J63:K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63:D63"/>
    <mergeCell ref="C84:D84"/>
    <mergeCell ref="C47:I47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2024-05-27T12:28:19Z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2024-05-23T09:37:30.2543907+02:00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GRN-ffbe306b-16f3-4255-b16e-0b23364eba50</vt:lpwstr>
  </property>
  <property fmtid="{D5CDD505-2E9C-101B-9397-08002B2CF9AE}" pid="7" name="MFHash">
    <vt:lpwstr>SlR1PJOUTw2onV+BATRRXb6IK/DEUhIWC2RKtNjWnck=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