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sr-win-003\homes_citrix\HHCY.MF\```ST7\Besti@\2022\IV kw 2022\Dane ostateczne\www\MF\Zestawienia zbiorcze\"/>
    </mc:Choice>
  </mc:AlternateContent>
  <bookViews>
    <workbookView xWindow="240" yWindow="120" windowWidth="14220" windowHeight="8835"/>
  </bookViews>
  <sheets>
    <sheet name="zob_nal" sheetId="7" r:id="rId1"/>
  </sheets>
  <calcPr calcId="152511"/>
</workbook>
</file>

<file path=xl/calcChain.xml><?xml version="1.0" encoding="utf-8"?>
<calcChain xmlns="http://schemas.openxmlformats.org/spreadsheetml/2006/main">
  <c r="B96" i="7" l="1"/>
  <c r="B95" i="7"/>
  <c r="B94" i="7"/>
  <c r="B93" i="7"/>
  <c r="I90" i="7"/>
  <c r="G90" i="7"/>
  <c r="I89" i="7"/>
  <c r="G89" i="7"/>
  <c r="I88" i="7"/>
  <c r="G88" i="7"/>
  <c r="L82" i="7"/>
  <c r="K82" i="7"/>
  <c r="J82" i="7"/>
  <c r="I82" i="7"/>
  <c r="H82" i="7"/>
  <c r="G82" i="7"/>
  <c r="F82" i="7"/>
  <c r="L81" i="7"/>
  <c r="K81" i="7"/>
  <c r="J81" i="7"/>
  <c r="I81" i="7"/>
  <c r="H81" i="7"/>
  <c r="G81" i="7"/>
  <c r="F81" i="7"/>
  <c r="L80" i="7"/>
  <c r="K80" i="7"/>
  <c r="J80" i="7"/>
  <c r="I80" i="7"/>
  <c r="H80" i="7"/>
  <c r="G80" i="7"/>
  <c r="F80" i="7"/>
  <c r="L79" i="7"/>
  <c r="K79" i="7"/>
  <c r="J79" i="7"/>
  <c r="I79" i="7"/>
  <c r="H79" i="7"/>
  <c r="G79" i="7"/>
  <c r="F79" i="7"/>
  <c r="L78" i="7"/>
  <c r="K78" i="7"/>
  <c r="J78" i="7"/>
  <c r="I78" i="7"/>
  <c r="H78" i="7"/>
  <c r="G78" i="7"/>
  <c r="F78" i="7"/>
  <c r="L77" i="7"/>
  <c r="K77" i="7"/>
  <c r="J77" i="7"/>
  <c r="I77" i="7"/>
  <c r="H77" i="7"/>
  <c r="G77" i="7"/>
  <c r="F77" i="7"/>
  <c r="L76" i="7"/>
  <c r="K76" i="7"/>
  <c r="J76" i="7"/>
  <c r="I76" i="7"/>
  <c r="H76" i="7"/>
  <c r="G76" i="7"/>
  <c r="F76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C56" i="7"/>
  <c r="B56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B55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B43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C42" i="7"/>
  <c r="B42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C41" i="7"/>
  <c r="B41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B40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C93" i="7"/>
  <c r="A30" i="7" s="1"/>
  <c r="A85" i="7" l="1"/>
  <c r="A1" i="7"/>
  <c r="A66" i="7"/>
</calcChain>
</file>

<file path=xl/sharedStrings.xml><?xml version="1.0" encoding="utf-8"?>
<sst xmlns="http://schemas.openxmlformats.org/spreadsheetml/2006/main" count="97" uniqueCount="81">
  <si>
    <t>Wyszczególnienie</t>
  </si>
  <si>
    <t>sektora finansów publicznych (kol.5+7+8)</t>
  </si>
  <si>
    <t>banku centralnego</t>
  </si>
  <si>
    <t>Poręczenia i gwarancje</t>
  </si>
  <si>
    <t>Liczba jednostek</t>
  </si>
  <si>
    <t>Wykonanie</t>
  </si>
  <si>
    <t>JST, których budżety zamknęły się nadwyżką</t>
  </si>
  <si>
    <t>JST, których budżety zamknęły się deficytem</t>
  </si>
  <si>
    <t>JST z budżetami zrównoważonymi</t>
  </si>
  <si>
    <t>kwartał</t>
  </si>
  <si>
    <t>rok</t>
  </si>
  <si>
    <t>stanNa</t>
  </si>
  <si>
    <t>A. Należności oraz wybrane aktywa finansowe</t>
  </si>
  <si>
    <t>kwota 
należności
ogółem
(kol. 3+15)</t>
  </si>
  <si>
    <t>ogółem 
(kol 4+9+10+11 +12+13+14)</t>
  </si>
  <si>
    <t>dłużnicy  krajowi</t>
  </si>
  <si>
    <t>sektor 
finansów 
publicznych 
ogółem 
(kol 5+6+7+8)</t>
  </si>
  <si>
    <t>banki</t>
  </si>
  <si>
    <t>pozostałe 
krajowe 
instytucje 
finansowe</t>
  </si>
  <si>
    <t>przedsiębiorstwa 
niefinansowe</t>
  </si>
  <si>
    <t>gospodarstwa 
domowe</t>
  </si>
  <si>
    <t>instytucje 
niekomercyjne 
działające
 na rzecz
gospodarstw
domowych</t>
  </si>
  <si>
    <t>ogółem
(kol. 16+17)</t>
  </si>
  <si>
    <t>podmioty 
należące 
do strefy 
euro</t>
  </si>
  <si>
    <t>pozostałe 
podmioty 
zagraniczne</t>
  </si>
  <si>
    <t xml:space="preserve">      dłużnicy zagraniczni</t>
  </si>
  <si>
    <t xml:space="preserve">grupa I </t>
  </si>
  <si>
    <t xml:space="preserve">grupa II </t>
  </si>
  <si>
    <t>grupa III</t>
  </si>
  <si>
    <t>grupa IV</t>
  </si>
  <si>
    <t>N1.1 krótkotermionowe</t>
  </si>
  <si>
    <t>N1.2  długoterminowe</t>
  </si>
  <si>
    <t>N2.1 krótkotermionowe</t>
  </si>
  <si>
    <t>N2.2 długoterminowe</t>
  </si>
  <si>
    <t>N3.1 gotówka</t>
  </si>
  <si>
    <t>N3.2 depozyty na żądanie</t>
  </si>
  <si>
    <t>N3.3 depozyty terminowe</t>
  </si>
  <si>
    <t>N4.1 z tytułu dostaw towarów i usług</t>
  </si>
  <si>
    <t>N4.2 pozostałe</t>
  </si>
  <si>
    <t>N5.1 z tytułu dostaw towarów i usług</t>
  </si>
  <si>
    <t>N5.2 z tytułu podatków i składek na 
ubezpieczenia społ.</t>
  </si>
  <si>
    <t>N5.3 z tytułu innych niż wymienione powyżej</t>
  </si>
  <si>
    <t>N1 papiery wartościowe (N1.1+N1.2)</t>
  </si>
  <si>
    <t>N2  pożyczki (N2.1+N2.2)</t>
  </si>
  <si>
    <t>N3 gotówka i depozyty (N3.1+N3.2+N3.3)</t>
  </si>
  <si>
    <t>N4 należności wymagalne (N4.1+N4.2)</t>
  </si>
  <si>
    <t>N5 pozostałe należności  (N5.1+N5.2+N5.3)</t>
  </si>
  <si>
    <t>E  ZOBOWIĄZANIA WG TYTUŁÓW 
    DŁUŻNYCH (E1+E2+E3+E4)</t>
  </si>
  <si>
    <t>E1 papiery wartościowe 
     (E1.1+E1.2)</t>
  </si>
  <si>
    <t>E1.1 krótkotermionowe</t>
  </si>
  <si>
    <t>E1.2 długoterminowe</t>
  </si>
  <si>
    <t>E2 kredyty i pożyczki 
     (E2.1+E2.2)</t>
  </si>
  <si>
    <t>E2.1 krótkotermionowe</t>
  </si>
  <si>
    <t>E2.2 długoterminowe</t>
  </si>
  <si>
    <t>E3 przyjęte depozyty</t>
  </si>
  <si>
    <t>E4.1 z tytułu dostaw towarów i usług</t>
  </si>
  <si>
    <t>E4.2 pozostałe</t>
  </si>
  <si>
    <t>F1 wartość nominalna niewymagalnych zobowiązań z tytułu udzielonych poręczeń i gwarancji na koniec okresu sprawozdawczego</t>
  </si>
  <si>
    <t>F2 wartość nominalna wymagalnych zobowiązań z tytułu udzielonych poręczeń i gwarancji na koniec okresu sprawozdawczego</t>
  </si>
  <si>
    <t>F3 wartość poręczeń i gwarancji udzielonych w okresie sprawozdawczym</t>
  </si>
  <si>
    <t>B1 należność główna z tytułu udzielonych gwarancji i poręczeń</t>
  </si>
  <si>
    <t>B2 odsetki ustawowe od nalezności głównej z tytułu udzielonych gwarancji i poręczeń</t>
  </si>
  <si>
    <t>B3 wartość spłat dokonanych w okresie sprawozdawczym za dłużników z tytułu udzielonych poręczeń i gwarancji (wydatki)</t>
  </si>
  <si>
    <t>B4 kwota odzyskanych wierzytelności w okresie sprawozdawczym od dłużników z tytułu poręczeń lub gwarancji (dochody)</t>
  </si>
  <si>
    <t>Zobowiązania według tytułów dłużnych (wg wartości nominalnej)</t>
  </si>
  <si>
    <t>kwota 
zadłużenia
ogółem
(kol. 3+15)</t>
  </si>
  <si>
    <t>ogółem 
(kol. 4+9+10+11 +12+13+14)</t>
  </si>
  <si>
    <t>bank 
centralny</t>
  </si>
  <si>
    <t xml:space="preserve">      wierzyciele zagraniczni</t>
  </si>
  <si>
    <t>wierzyciele krajowi</t>
  </si>
  <si>
    <t>grupa I</t>
  </si>
  <si>
    <t>grupa II</t>
  </si>
  <si>
    <t>wierzyciele</t>
  </si>
  <si>
    <t>kwota 
zadłużenia
ogółem
(kol. 3+8)</t>
  </si>
  <si>
    <t>podmioty 
sektora finansów 
publicznych 
(kol.4+5+6+7)</t>
  </si>
  <si>
    <t xml:space="preserve">grupa III </t>
  </si>
  <si>
    <t xml:space="preserve">grupa IV </t>
  </si>
  <si>
    <t>pozostałe
podmioty</t>
  </si>
  <si>
    <t>tytul</t>
  </si>
  <si>
    <t>w złotych</t>
  </si>
  <si>
    <t>E4  wymagalne zobowiązania (E4.1+E4.2)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</si>
</sst>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\ h:mm;@"/>
  </numFmts>
  <fonts count="33" x14ac:knownFonts="1">
    <font>
      <sz val="10"/>
      <name val="Arial CE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sz val="16"/>
      <name val="Arial"/>
      <family val="2"/>
      <charset val="238"/>
    </font>
    <font>
      <sz val="10"/>
      <name val="Arial"/>
      <charset val="238"/>
    </font>
    <font>
      <sz val="8"/>
      <name val="Arial"/>
      <charset val="238"/>
    </font>
    <font>
      <sz val="11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8"/>
      <name val="Arial CE"/>
      <family val="2"/>
      <charset val="238"/>
    </font>
    <font>
      <sz val="6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charset val="238"/>
    </font>
    <font>
      <b/>
      <sz val="8"/>
      <name val="Arial CE"/>
      <charset val="238"/>
    </font>
    <font>
      <sz val="14"/>
      <name val="Arial"/>
      <family val="2"/>
      <charset val="238"/>
    </font>
  </fonts>
  <fills count="22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14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43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0" borderId="0" applyNumberFormat="0" applyBorder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3" fillId="16" borderId="1" applyNumberFormat="0" applyAlignment="0" applyProtection="0"/>
    <xf numFmtId="0" fontId="14" fillId="17" borderId="2" applyNumberFormat="0" applyAlignment="0" applyProtection="0"/>
    <xf numFmtId="0" fontId="15" fillId="0" borderId="0" applyNumberFormat="0" applyFill="0" applyBorder="0" applyAlignment="0" applyProtection="0"/>
    <xf numFmtId="0" fontId="16" fillId="18" borderId="0" applyNumberFormat="0" applyBorder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1" applyNumberFormat="0" applyAlignment="0" applyProtection="0"/>
    <xf numFmtId="0" fontId="21" fillId="0" borderId="7" applyNumberFormat="0" applyFill="0" applyAlignment="0" applyProtection="0"/>
    <xf numFmtId="0" fontId="22" fillId="8" borderId="0" applyNumberFormat="0" applyBorder="0" applyAlignment="0" applyProtection="0"/>
    <xf numFmtId="0" fontId="4" fillId="0" borderId="0"/>
    <xf numFmtId="0" fontId="1" fillId="4" borderId="8" applyNumberFormat="0" applyFont="0" applyAlignment="0" applyProtection="0"/>
    <xf numFmtId="0" fontId="23" fillId="16" borderId="3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</cellStyleXfs>
  <cellXfs count="81">
    <xf numFmtId="0" fontId="0" fillId="0" borderId="0" xfId="0"/>
    <xf numFmtId="0" fontId="3" fillId="0" borderId="0" xfId="37" applyFont="1" applyAlignment="1">
      <alignment horizontal="center" vertical="center" wrapText="1"/>
    </xf>
    <xf numFmtId="0" fontId="4" fillId="0" borderId="0" xfId="37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4" fillId="0" borderId="0" xfId="37" applyFill="1" applyBorder="1" applyAlignment="1">
      <alignment horizontal="center" vertical="center" wrapText="1"/>
    </xf>
    <xf numFmtId="0" fontId="5" fillId="0" borderId="0" xfId="37" applyFont="1" applyFill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left" vertical="center" wrapText="1"/>
    </xf>
    <xf numFmtId="0" fontId="2" fillId="0" borderId="0" xfId="37" applyFont="1" applyFill="1" applyBorder="1" applyAlignment="1">
      <alignment horizontal="center" vertical="center" wrapText="1"/>
    </xf>
    <xf numFmtId="0" fontId="9" fillId="0" borderId="10" xfId="0" applyFont="1" applyBorder="1"/>
    <xf numFmtId="0" fontId="9" fillId="0" borderId="0" xfId="0" applyFont="1"/>
    <xf numFmtId="164" fontId="9" fillId="0" borderId="10" xfId="0" applyNumberFormat="1" applyFont="1" applyBorder="1"/>
    <xf numFmtId="0" fontId="28" fillId="0" borderId="0" xfId="37" applyFont="1" applyAlignment="1">
      <alignment horizontal="center" vertical="center" wrapText="1"/>
    </xf>
    <xf numFmtId="0" fontId="28" fillId="0" borderId="0" xfId="37" applyFont="1" applyFill="1" applyBorder="1" applyAlignment="1">
      <alignment horizontal="center" vertical="center" wrapText="1"/>
    </xf>
    <xf numFmtId="0" fontId="4" fillId="19" borderId="10" xfId="37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4" fillId="0" borderId="10" xfId="37" applyFont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indent="1"/>
    </xf>
    <xf numFmtId="4" fontId="7" fillId="0" borderId="0" xfId="37" applyNumberFormat="1" applyFont="1" applyBorder="1" applyAlignment="1">
      <alignment horizontal="right" vertical="center" wrapText="1"/>
    </xf>
    <xf numFmtId="0" fontId="2" fillId="0" borderId="10" xfId="37" applyFont="1" applyBorder="1" applyAlignment="1">
      <alignment horizontal="left" vertical="center" wrapText="1"/>
    </xf>
    <xf numFmtId="0" fontId="27" fillId="0" borderId="17" xfId="0" applyFont="1" applyFill="1" applyBorder="1" applyAlignment="1">
      <alignment vertical="center" wrapText="1"/>
    </xf>
    <xf numFmtId="0" fontId="8" fillId="20" borderId="10" xfId="37" applyFont="1" applyFill="1" applyBorder="1" applyAlignment="1">
      <alignment horizontal="left" vertical="center" wrapText="1"/>
    </xf>
    <xf numFmtId="4" fontId="7" fillId="20" borderId="10" xfId="37" applyNumberFormat="1" applyFont="1" applyFill="1" applyBorder="1" applyAlignment="1">
      <alignment horizontal="right" vertical="center" wrapText="1"/>
    </xf>
    <xf numFmtId="4" fontId="7" fillId="0" borderId="10" xfId="37" applyNumberFormat="1" applyFont="1" applyBorder="1" applyAlignment="1">
      <alignment horizontal="right" vertical="center" wrapText="1"/>
    </xf>
    <xf numFmtId="4" fontId="7" fillId="20" borderId="10" xfId="37" applyNumberFormat="1" applyFont="1" applyFill="1" applyBorder="1" applyAlignment="1">
      <alignment vertical="center" wrapText="1"/>
    </xf>
    <xf numFmtId="4" fontId="7" fillId="0" borderId="10" xfId="37" applyNumberFormat="1" applyFont="1" applyFill="1" applyBorder="1" applyAlignment="1">
      <alignment vertical="center" wrapText="1"/>
    </xf>
    <xf numFmtId="0" fontId="31" fillId="21" borderId="17" xfId="0" applyFont="1" applyFill="1" applyBorder="1" applyAlignment="1">
      <alignment vertical="center" wrapText="1"/>
    </xf>
    <xf numFmtId="0" fontId="29" fillId="19" borderId="19" xfId="37" applyFont="1" applyFill="1" applyBorder="1" applyAlignment="1">
      <alignment horizontal="center" vertical="center" wrapText="1"/>
    </xf>
    <xf numFmtId="0" fontId="29" fillId="19" borderId="20" xfId="37" applyFont="1" applyFill="1" applyBorder="1" applyAlignment="1">
      <alignment horizontal="center" vertical="center" wrapText="1"/>
    </xf>
    <xf numFmtId="0" fontId="29" fillId="19" borderId="12" xfId="37" applyFont="1" applyFill="1" applyBorder="1" applyAlignment="1">
      <alignment horizontal="center" vertical="center" wrapText="1"/>
    </xf>
    <xf numFmtId="0" fontId="7" fillId="19" borderId="20" xfId="37" applyFont="1" applyFill="1" applyBorder="1" applyAlignment="1">
      <alignment horizontal="center" vertical="center" wrapText="1"/>
    </xf>
    <xf numFmtId="0" fontId="7" fillId="19" borderId="12" xfId="37" applyFont="1" applyFill="1" applyBorder="1" applyAlignment="1">
      <alignment horizontal="center" vertical="center" wrapText="1"/>
    </xf>
    <xf numFmtId="0" fontId="7" fillId="19" borderId="10" xfId="37" applyFont="1" applyFill="1" applyBorder="1" applyAlignment="1">
      <alignment horizontal="center" vertical="center" wrapText="1"/>
    </xf>
    <xf numFmtId="0" fontId="5" fillId="19" borderId="10" xfId="37" applyFont="1" applyFill="1" applyBorder="1" applyAlignment="1">
      <alignment horizontal="center" vertical="center" wrapText="1"/>
    </xf>
    <xf numFmtId="0" fontId="29" fillId="19" borderId="15" xfId="37" applyFont="1" applyFill="1" applyBorder="1" applyAlignment="1">
      <alignment horizontal="center" vertical="center" wrapText="1"/>
    </xf>
    <xf numFmtId="0" fontId="29" fillId="19" borderId="14" xfId="37" applyFont="1" applyFill="1" applyBorder="1" applyAlignment="1">
      <alignment horizontal="center" vertical="center" wrapText="1"/>
    </xf>
    <xf numFmtId="0" fontId="29" fillId="19" borderId="11" xfId="37" applyFont="1" applyFill="1" applyBorder="1" applyAlignment="1">
      <alignment horizontal="center" vertical="center" wrapText="1"/>
    </xf>
    <xf numFmtId="0" fontId="32" fillId="0" borderId="0" xfId="37" applyFont="1" applyAlignment="1">
      <alignment horizontal="center" vertical="center" wrapText="1"/>
    </xf>
    <xf numFmtId="0" fontId="6" fillId="0" borderId="0" xfId="37" applyFont="1" applyAlignment="1">
      <alignment horizontal="left" vertical="center" wrapText="1"/>
    </xf>
    <xf numFmtId="0" fontId="7" fillId="19" borderId="19" xfId="37" applyFont="1" applyFill="1" applyBorder="1" applyAlignment="1">
      <alignment horizontal="center" vertical="center" wrapText="1"/>
    </xf>
    <xf numFmtId="0" fontId="28" fillId="0" borderId="0" xfId="37" applyFont="1" applyFill="1" applyBorder="1" applyAlignment="1">
      <alignment horizontal="center" vertical="center" wrapText="1"/>
    </xf>
    <xf numFmtId="0" fontId="5" fillId="19" borderId="21" xfId="37" applyFont="1" applyFill="1" applyBorder="1" applyAlignment="1">
      <alignment horizontal="center" vertical="center" wrapText="1"/>
    </xf>
    <xf numFmtId="0" fontId="5" fillId="19" borderId="22" xfId="37" applyFont="1" applyFill="1" applyBorder="1" applyAlignment="1">
      <alignment horizontal="center" vertical="center" wrapText="1"/>
    </xf>
    <xf numFmtId="0" fontId="5" fillId="19" borderId="13" xfId="37" applyFont="1" applyFill="1" applyBorder="1" applyAlignment="1">
      <alignment horizontal="center" vertical="center" wrapText="1"/>
    </xf>
    <xf numFmtId="0" fontId="30" fillId="19" borderId="10" xfId="37" applyFont="1" applyFill="1" applyBorder="1" applyAlignment="1">
      <alignment horizontal="center" vertical="center" wrapText="1"/>
    </xf>
    <xf numFmtId="0" fontId="7" fillId="19" borderId="22" xfId="37" applyFont="1" applyFill="1" applyBorder="1" applyAlignment="1">
      <alignment horizontal="center" vertical="center" wrapText="1"/>
    </xf>
    <xf numFmtId="0" fontId="7" fillId="19" borderId="13" xfId="37" applyFont="1" applyFill="1" applyBorder="1" applyAlignment="1">
      <alignment horizontal="center" vertical="center" wrapText="1"/>
    </xf>
    <xf numFmtId="4" fontId="7" fillId="0" borderId="15" xfId="37" applyNumberFormat="1" applyFont="1" applyBorder="1" applyAlignment="1">
      <alignment horizontal="right" vertical="center" wrapText="1"/>
    </xf>
    <xf numFmtId="4" fontId="7" fillId="0" borderId="11" xfId="37" applyNumberFormat="1" applyFont="1" applyBorder="1" applyAlignment="1">
      <alignment horizontal="right" vertical="center" wrapText="1"/>
    </xf>
    <xf numFmtId="4" fontId="7" fillId="20" borderId="15" xfId="37" applyNumberFormat="1" applyFont="1" applyFill="1" applyBorder="1" applyAlignment="1">
      <alignment horizontal="right" vertical="center" wrapText="1"/>
    </xf>
    <xf numFmtId="4" fontId="7" fillId="20" borderId="11" xfId="37" applyNumberFormat="1" applyFont="1" applyFill="1" applyBorder="1" applyAlignment="1">
      <alignment horizontal="right" vertical="center" wrapText="1"/>
    </xf>
    <xf numFmtId="0" fontId="7" fillId="19" borderId="15" xfId="37" applyFont="1" applyFill="1" applyBorder="1" applyAlignment="1">
      <alignment horizontal="center" vertical="center" wrapText="1"/>
    </xf>
    <xf numFmtId="0" fontId="7" fillId="19" borderId="14" xfId="37" applyFont="1" applyFill="1" applyBorder="1" applyAlignment="1">
      <alignment horizontal="center" vertical="center" wrapText="1"/>
    </xf>
    <xf numFmtId="0" fontId="7" fillId="19" borderId="11" xfId="37" applyFont="1" applyFill="1" applyBorder="1" applyAlignment="1">
      <alignment horizontal="center" vertical="center" wrapText="1"/>
    </xf>
    <xf numFmtId="0" fontId="2" fillId="0" borderId="15" xfId="37" applyFont="1" applyBorder="1" applyAlignment="1">
      <alignment horizontal="left" vertical="center" wrapText="1"/>
    </xf>
    <xf numFmtId="0" fontId="2" fillId="0" borderId="14" xfId="37" applyFont="1" applyBorder="1" applyAlignment="1">
      <alignment horizontal="left" vertical="center" wrapText="1"/>
    </xf>
    <xf numFmtId="0" fontId="2" fillId="0" borderId="11" xfId="37" applyFont="1" applyBorder="1" applyAlignment="1">
      <alignment horizontal="left" vertical="center" wrapText="1"/>
    </xf>
    <xf numFmtId="0" fontId="2" fillId="20" borderId="15" xfId="37" applyFont="1" applyFill="1" applyBorder="1" applyAlignment="1">
      <alignment horizontal="left" vertical="center" wrapText="1"/>
    </xf>
    <xf numFmtId="0" fontId="2" fillId="20" borderId="14" xfId="37" applyFont="1" applyFill="1" applyBorder="1" applyAlignment="1">
      <alignment horizontal="left" vertical="center" wrapText="1"/>
    </xf>
    <xf numFmtId="0" fontId="2" fillId="20" borderId="11" xfId="37" applyFont="1" applyFill="1" applyBorder="1" applyAlignment="1">
      <alignment horizontal="left" vertical="center" wrapText="1"/>
    </xf>
    <xf numFmtId="3" fontId="7" fillId="0" borderId="15" xfId="37" applyNumberFormat="1" applyFont="1" applyBorder="1" applyAlignment="1">
      <alignment horizontal="right" vertical="center" wrapText="1"/>
    </xf>
    <xf numFmtId="3" fontId="7" fillId="0" borderId="11" xfId="37" applyNumberFormat="1" applyFont="1" applyBorder="1" applyAlignment="1">
      <alignment horizontal="right" vertical="center" wrapText="1"/>
    </xf>
    <xf numFmtId="0" fontId="5" fillId="19" borderId="15" xfId="37" applyFont="1" applyFill="1" applyBorder="1" applyAlignment="1">
      <alignment horizontal="center" vertical="center" wrapText="1"/>
    </xf>
    <xf numFmtId="0" fontId="5" fillId="19" borderId="11" xfId="37" applyFont="1" applyFill="1" applyBorder="1" applyAlignment="1">
      <alignment horizontal="center" vertical="center" wrapText="1"/>
    </xf>
    <xf numFmtId="3" fontId="7" fillId="20" borderId="15" xfId="37" applyNumberFormat="1" applyFont="1" applyFill="1" applyBorder="1" applyAlignment="1">
      <alignment horizontal="right" vertical="center" wrapText="1"/>
    </xf>
    <xf numFmtId="3" fontId="7" fillId="20" borderId="11" xfId="37" applyNumberFormat="1" applyFont="1" applyFill="1" applyBorder="1" applyAlignment="1">
      <alignment horizontal="right" vertical="center" wrapText="1"/>
    </xf>
    <xf numFmtId="0" fontId="8" fillId="19" borderId="21" xfId="37" applyFont="1" applyFill="1" applyBorder="1" applyAlignment="1">
      <alignment horizontal="center" vertical="center" wrapText="1"/>
    </xf>
    <xf numFmtId="0" fontId="8" fillId="19" borderId="18" xfId="37" applyFont="1" applyFill="1" applyBorder="1" applyAlignment="1">
      <alignment horizontal="center" vertical="center" wrapText="1"/>
    </xf>
    <xf numFmtId="0" fontId="8" fillId="19" borderId="23" xfId="37" applyFont="1" applyFill="1" applyBorder="1" applyAlignment="1">
      <alignment horizontal="center" vertical="center" wrapText="1"/>
    </xf>
    <xf numFmtId="0" fontId="8" fillId="19" borderId="22" xfId="37" applyFont="1" applyFill="1" applyBorder="1" applyAlignment="1">
      <alignment horizontal="center" vertical="center" wrapText="1"/>
    </xf>
    <xf numFmtId="0" fontId="8" fillId="19" borderId="0" xfId="37" applyFont="1" applyFill="1" applyBorder="1" applyAlignment="1">
      <alignment horizontal="center" vertical="center" wrapText="1"/>
    </xf>
    <xf numFmtId="0" fontId="8" fillId="19" borderId="24" xfId="37" applyFont="1" applyFill="1" applyBorder="1" applyAlignment="1">
      <alignment horizontal="center" vertical="center" wrapText="1"/>
    </xf>
    <xf numFmtId="0" fontId="8" fillId="19" borderId="13" xfId="37" applyFont="1" applyFill="1" applyBorder="1" applyAlignment="1">
      <alignment horizontal="center" vertical="center" wrapText="1"/>
    </xf>
    <xf numFmtId="0" fontId="8" fillId="19" borderId="25" xfId="37" applyFont="1" applyFill="1" applyBorder="1" applyAlignment="1">
      <alignment horizontal="center" vertical="center" wrapText="1"/>
    </xf>
    <xf numFmtId="0" fontId="8" fillId="19" borderId="16" xfId="37" applyFont="1" applyFill="1" applyBorder="1" applyAlignment="1">
      <alignment horizontal="center" vertical="center" wrapText="1"/>
    </xf>
    <xf numFmtId="0" fontId="5" fillId="19" borderId="14" xfId="37" applyFont="1" applyFill="1" applyBorder="1" applyAlignment="1">
      <alignment horizontal="center" vertical="center" wrapText="1"/>
    </xf>
    <xf numFmtId="0" fontId="30" fillId="19" borderId="10" xfId="37" applyNumberFormat="1" applyFont="1" applyFill="1" applyBorder="1" applyAlignment="1">
      <alignment horizontal="center" vertical="center" wrapText="1"/>
    </xf>
    <xf numFmtId="0" fontId="4" fillId="19" borderId="10" xfId="37" applyFill="1" applyBorder="1" applyAlignment="1">
      <alignment horizontal="center" vertical="center" wrapText="1"/>
    </xf>
    <xf numFmtId="0" fontId="2" fillId="19" borderId="15" xfId="37" applyFont="1" applyFill="1" applyBorder="1" applyAlignment="1">
      <alignment horizontal="center" vertical="center" wrapText="1"/>
    </xf>
    <xf numFmtId="0" fontId="2" fillId="19" borderId="14" xfId="37" applyFont="1" applyFill="1" applyBorder="1" applyAlignment="1">
      <alignment horizontal="center" vertical="center" wrapText="1"/>
    </xf>
    <xf numFmtId="0" fontId="2" fillId="19" borderId="11" xfId="37" applyFont="1" applyFill="1" applyBorder="1" applyAlignment="1">
      <alignment horizontal="center" vertical="center" wrapText="1"/>
    </xf>
    <xf numFmtId="0" fontId="4" fillId="19" borderId="10" xfId="37" applyNumberFormat="1" applyFont="1" applyFill="1" applyBorder="1" applyAlignment="1">
      <alignment horizontal="center" vertical="center" wrapText="1"/>
    </xf>
  </cellXfs>
  <cellStyles count="43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Explanatory Text" xfId="28"/>
    <cellStyle name="Good" xfId="29"/>
    <cellStyle name="Heading 1" xfId="30"/>
    <cellStyle name="Heading 2" xfId="31"/>
    <cellStyle name="Heading 3" xfId="32"/>
    <cellStyle name="Heading 4" xfId="33"/>
    <cellStyle name="Input" xfId="34"/>
    <cellStyle name="Linked Cell" xfId="35"/>
    <cellStyle name="Neutral" xfId="36"/>
    <cellStyle name="Normalny" xfId="0" builtinId="0"/>
    <cellStyle name="Normalny_Zeszyt1" xfId="37"/>
    <cellStyle name="Note" xfId="38"/>
    <cellStyle name="Output" xfId="39"/>
    <cellStyle name="Title" xfId="40"/>
    <cellStyle name="Total" xfId="41"/>
    <cellStyle name="Warning Text" xfId="4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Q96"/>
  <sheetViews>
    <sheetView tabSelected="1" zoomScaleNormal="100" zoomScaleSheetLayoutView="50" workbookViewId="0">
      <selection activeCell="A6" sqref="A6:A10"/>
    </sheetView>
  </sheetViews>
  <sheetFormatPr defaultRowHeight="13.5" customHeight="1" x14ac:dyDescent="0.2"/>
  <cols>
    <col min="1" max="1" width="22.5703125" style="2" customWidth="1"/>
    <col min="2" max="3" width="13.7109375" style="2" customWidth="1"/>
    <col min="4" max="4" width="12.42578125" style="2" customWidth="1"/>
    <col min="5" max="6" width="11.42578125" style="2" customWidth="1"/>
    <col min="7" max="7" width="12.7109375" style="2" customWidth="1"/>
    <col min="8" max="8" width="9.7109375" style="2" customWidth="1"/>
    <col min="9" max="9" width="10.7109375" style="2" customWidth="1"/>
    <col min="10" max="10" width="14" style="2" customWidth="1"/>
    <col min="11" max="11" width="12.140625" style="2" customWidth="1"/>
    <col min="12" max="12" width="11.42578125" style="2" customWidth="1"/>
    <col min="13" max="13" width="12" style="2" customWidth="1"/>
    <col min="14" max="14" width="11.7109375" style="2" customWidth="1"/>
    <col min="15" max="15" width="11.140625" style="2" customWidth="1"/>
    <col min="16" max="16" width="12.5703125" style="2" customWidth="1"/>
    <col min="17" max="16384" width="9.140625" style="2"/>
  </cols>
  <sheetData>
    <row r="1" spans="1:17" ht="75" customHeight="1" x14ac:dyDescent="0.2">
      <c r="A1" s="36" t="str">
        <f>CONCATENATE("Informacja z wykonania budżetów miast na prawach powiatu za  ",$C$93," ",$B$94," roku     ",$B$96,"")</f>
        <v xml:space="preserve">Informacja z wykonania budżetów miast na prawach powiatu za  IV Kwartały 2022 roku     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7" ht="13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ht="13.5" customHeight="1" x14ac:dyDescent="0.2">
      <c r="A3" s="37" t="s">
        <v>64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</row>
    <row r="5" spans="1:17" ht="13.5" customHeight="1" x14ac:dyDescent="0.2">
      <c r="B5" s="12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11"/>
      <c r="O5" s="11"/>
      <c r="P5" s="11"/>
      <c r="Q5" s="11"/>
    </row>
    <row r="6" spans="1:17" ht="13.5" customHeight="1" x14ac:dyDescent="0.2">
      <c r="A6" s="26" t="s">
        <v>0</v>
      </c>
      <c r="B6" s="38" t="s">
        <v>65</v>
      </c>
      <c r="C6" s="50" t="s">
        <v>69</v>
      </c>
      <c r="D6" s="51"/>
      <c r="E6" s="51"/>
      <c r="F6" s="51"/>
      <c r="G6" s="51"/>
      <c r="H6" s="51"/>
      <c r="I6" s="51"/>
      <c r="J6" s="51"/>
      <c r="K6" s="51"/>
      <c r="L6" s="51"/>
      <c r="M6" s="51"/>
      <c r="N6" s="52"/>
      <c r="O6" s="50" t="s">
        <v>68</v>
      </c>
      <c r="P6" s="51"/>
      <c r="Q6" s="52"/>
    </row>
    <row r="7" spans="1:17" ht="13.5" customHeight="1" x14ac:dyDescent="0.2">
      <c r="A7" s="27"/>
      <c r="B7" s="29"/>
      <c r="C7" s="30" t="s">
        <v>66</v>
      </c>
      <c r="D7" s="30" t="s">
        <v>1</v>
      </c>
      <c r="E7" s="30" t="s">
        <v>70</v>
      </c>
      <c r="F7" s="30" t="s">
        <v>71</v>
      </c>
      <c r="G7" s="30" t="s">
        <v>28</v>
      </c>
      <c r="H7" s="30" t="s">
        <v>29</v>
      </c>
      <c r="I7" s="44" t="s">
        <v>67</v>
      </c>
      <c r="J7" s="30" t="s">
        <v>17</v>
      </c>
      <c r="K7" s="30" t="s">
        <v>18</v>
      </c>
      <c r="L7" s="30" t="s">
        <v>19</v>
      </c>
      <c r="M7" s="30" t="s">
        <v>20</v>
      </c>
      <c r="N7" s="29" t="s">
        <v>21</v>
      </c>
      <c r="O7" s="31" t="s">
        <v>22</v>
      </c>
      <c r="P7" s="31" t="s">
        <v>23</v>
      </c>
      <c r="Q7" s="31" t="s">
        <v>24</v>
      </c>
    </row>
    <row r="8" spans="1:17" ht="13.5" customHeight="1" x14ac:dyDescent="0.2">
      <c r="A8" s="27"/>
      <c r="B8" s="29"/>
      <c r="C8" s="31"/>
      <c r="D8" s="31"/>
      <c r="E8" s="31"/>
      <c r="F8" s="31"/>
      <c r="G8" s="31"/>
      <c r="H8" s="31"/>
      <c r="I8" s="44"/>
      <c r="J8" s="31"/>
      <c r="K8" s="31"/>
      <c r="L8" s="31"/>
      <c r="M8" s="31"/>
      <c r="N8" s="29"/>
      <c r="O8" s="31"/>
      <c r="P8" s="31"/>
      <c r="Q8" s="31"/>
    </row>
    <row r="9" spans="1:17" ht="11.25" customHeight="1" x14ac:dyDescent="0.2">
      <c r="A9" s="27"/>
      <c r="B9" s="29"/>
      <c r="C9" s="31"/>
      <c r="D9" s="31"/>
      <c r="E9" s="31"/>
      <c r="F9" s="31"/>
      <c r="G9" s="31"/>
      <c r="H9" s="31"/>
      <c r="I9" s="44"/>
      <c r="J9" s="31"/>
      <c r="K9" s="31"/>
      <c r="L9" s="31"/>
      <c r="M9" s="31"/>
      <c r="N9" s="29"/>
      <c r="O9" s="31"/>
      <c r="P9" s="31"/>
      <c r="Q9" s="31"/>
    </row>
    <row r="10" spans="1:17" ht="11.25" customHeight="1" x14ac:dyDescent="0.2">
      <c r="A10" s="28"/>
      <c r="B10" s="30"/>
      <c r="C10" s="31"/>
      <c r="D10" s="31"/>
      <c r="E10" s="31"/>
      <c r="F10" s="31"/>
      <c r="G10" s="31"/>
      <c r="H10" s="31"/>
      <c r="I10" s="45"/>
      <c r="J10" s="31"/>
      <c r="K10" s="31"/>
      <c r="L10" s="31"/>
      <c r="M10" s="31"/>
      <c r="N10" s="30"/>
      <c r="O10" s="31"/>
      <c r="P10" s="31"/>
      <c r="Q10" s="31"/>
    </row>
    <row r="11" spans="1:17" ht="11.25" customHeight="1" x14ac:dyDescent="0.2">
      <c r="A11" s="14">
        <v>1</v>
      </c>
      <c r="B11" s="14">
        <v>2</v>
      </c>
      <c r="C11" s="14">
        <v>3</v>
      </c>
      <c r="D11" s="14">
        <v>4</v>
      </c>
      <c r="E11" s="14">
        <v>5</v>
      </c>
      <c r="F11" s="14">
        <v>6</v>
      </c>
      <c r="G11" s="14">
        <v>7</v>
      </c>
      <c r="H11" s="14">
        <v>8</v>
      </c>
      <c r="I11" s="14">
        <v>9</v>
      </c>
      <c r="J11" s="14">
        <v>10</v>
      </c>
      <c r="K11" s="14">
        <v>11</v>
      </c>
      <c r="L11" s="14">
        <v>12</v>
      </c>
      <c r="M11" s="14">
        <v>13</v>
      </c>
      <c r="N11" s="14">
        <v>14</v>
      </c>
      <c r="O11" s="14">
        <v>15</v>
      </c>
      <c r="P11" s="14">
        <v>16</v>
      </c>
      <c r="Q11" s="14">
        <v>17</v>
      </c>
    </row>
    <row r="12" spans="1:17" ht="13.5" customHeight="1" x14ac:dyDescent="0.2">
      <c r="A12" s="14"/>
      <c r="B12" s="77" t="s">
        <v>79</v>
      </c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78"/>
      <c r="P12" s="78"/>
      <c r="Q12" s="79"/>
    </row>
    <row r="13" spans="1:17" ht="38.25" customHeight="1" x14ac:dyDescent="0.2">
      <c r="A13" s="20" t="s">
        <v>47</v>
      </c>
      <c r="B13" s="21">
        <f>45622468853.79</f>
        <v>45622468853.790001</v>
      </c>
      <c r="C13" s="21">
        <f>23498612252.12</f>
        <v>23498612252.119999</v>
      </c>
      <c r="D13" s="21">
        <f>451151584.8</f>
        <v>451151584.80000001</v>
      </c>
      <c r="E13" s="21">
        <f>2060.48</f>
        <v>2060.48</v>
      </c>
      <c r="F13" s="21">
        <f>250739112.1</f>
        <v>250739112.09999999</v>
      </c>
      <c r="G13" s="21">
        <f>200410274.53</f>
        <v>200410274.53</v>
      </c>
      <c r="H13" s="21">
        <f>137.69</f>
        <v>137.69</v>
      </c>
      <c r="I13" s="21">
        <f>0</f>
        <v>0</v>
      </c>
      <c r="J13" s="21">
        <f>20709088718.6</f>
        <v>20709088718.599998</v>
      </c>
      <c r="K13" s="21">
        <f>813460425.05</f>
        <v>813460425.04999995</v>
      </c>
      <c r="L13" s="21">
        <f>1512750742.52</f>
        <v>1512750742.52</v>
      </c>
      <c r="M13" s="21">
        <f>10059892.29</f>
        <v>10059892.289999999</v>
      </c>
      <c r="N13" s="21">
        <f>2100888.86</f>
        <v>2100888.86</v>
      </c>
      <c r="O13" s="21">
        <f>22123856601.67</f>
        <v>22123856601.669998</v>
      </c>
      <c r="P13" s="21">
        <f>22101356601.67</f>
        <v>22101356601.669998</v>
      </c>
      <c r="Q13" s="21">
        <f>22500000</f>
        <v>22500000</v>
      </c>
    </row>
    <row r="14" spans="1:17" ht="38.25" customHeight="1" x14ac:dyDescent="0.2">
      <c r="A14" s="20" t="s">
        <v>48</v>
      </c>
      <c r="B14" s="21">
        <f>3290957000</f>
        <v>3290957000</v>
      </c>
      <c r="C14" s="21">
        <f>3290957000</f>
        <v>3290957000</v>
      </c>
      <c r="D14" s="21">
        <f>0</f>
        <v>0</v>
      </c>
      <c r="E14" s="21">
        <f>0</f>
        <v>0</v>
      </c>
      <c r="F14" s="21">
        <f>0</f>
        <v>0</v>
      </c>
      <c r="G14" s="21">
        <f>0</f>
        <v>0</v>
      </c>
      <c r="H14" s="21">
        <f>0</f>
        <v>0</v>
      </c>
      <c r="I14" s="21">
        <f>0</f>
        <v>0</v>
      </c>
      <c r="J14" s="21">
        <f>3124457000</f>
        <v>3124457000</v>
      </c>
      <c r="K14" s="21">
        <f>166500000</f>
        <v>166500000</v>
      </c>
      <c r="L14" s="21">
        <f>0</f>
        <v>0</v>
      </c>
      <c r="M14" s="21">
        <f>0</f>
        <v>0</v>
      </c>
      <c r="N14" s="21">
        <f>0</f>
        <v>0</v>
      </c>
      <c r="O14" s="21">
        <f>0</f>
        <v>0</v>
      </c>
      <c r="P14" s="21">
        <f>0</f>
        <v>0</v>
      </c>
      <c r="Q14" s="21">
        <f>0</f>
        <v>0</v>
      </c>
    </row>
    <row r="15" spans="1:17" ht="38.25" customHeight="1" x14ac:dyDescent="0.2">
      <c r="A15" s="18" t="s">
        <v>49</v>
      </c>
      <c r="B15" s="22">
        <f>10000000</f>
        <v>10000000</v>
      </c>
      <c r="C15" s="22">
        <f>10000000</f>
        <v>10000000</v>
      </c>
      <c r="D15" s="22">
        <f>0</f>
        <v>0</v>
      </c>
      <c r="E15" s="22">
        <f>0</f>
        <v>0</v>
      </c>
      <c r="F15" s="22">
        <f>0</f>
        <v>0</v>
      </c>
      <c r="G15" s="22">
        <f>0</f>
        <v>0</v>
      </c>
      <c r="H15" s="22">
        <f>0</f>
        <v>0</v>
      </c>
      <c r="I15" s="22">
        <f>0</f>
        <v>0</v>
      </c>
      <c r="J15" s="22">
        <f>10000000</f>
        <v>10000000</v>
      </c>
      <c r="K15" s="22">
        <f>0</f>
        <v>0</v>
      </c>
      <c r="L15" s="22">
        <f>0</f>
        <v>0</v>
      </c>
      <c r="M15" s="22">
        <f>0</f>
        <v>0</v>
      </c>
      <c r="N15" s="22">
        <f>0</f>
        <v>0</v>
      </c>
      <c r="O15" s="22">
        <f>0</f>
        <v>0</v>
      </c>
      <c r="P15" s="22">
        <f>0</f>
        <v>0</v>
      </c>
      <c r="Q15" s="22">
        <f>0</f>
        <v>0</v>
      </c>
    </row>
    <row r="16" spans="1:17" ht="38.25" customHeight="1" x14ac:dyDescent="0.2">
      <c r="A16" s="18" t="s">
        <v>50</v>
      </c>
      <c r="B16" s="22">
        <f>3280957000</f>
        <v>3280957000</v>
      </c>
      <c r="C16" s="22">
        <f>3280957000</f>
        <v>3280957000</v>
      </c>
      <c r="D16" s="22">
        <f>0</f>
        <v>0</v>
      </c>
      <c r="E16" s="22">
        <f>0</f>
        <v>0</v>
      </c>
      <c r="F16" s="22">
        <f>0</f>
        <v>0</v>
      </c>
      <c r="G16" s="22">
        <f>0</f>
        <v>0</v>
      </c>
      <c r="H16" s="22">
        <f>0</f>
        <v>0</v>
      </c>
      <c r="I16" s="22">
        <f>0</f>
        <v>0</v>
      </c>
      <c r="J16" s="22">
        <f>3114457000</f>
        <v>3114457000</v>
      </c>
      <c r="K16" s="22">
        <f>166500000</f>
        <v>166500000</v>
      </c>
      <c r="L16" s="22">
        <f>0</f>
        <v>0</v>
      </c>
      <c r="M16" s="22">
        <f>0</f>
        <v>0</v>
      </c>
      <c r="N16" s="22">
        <f>0</f>
        <v>0</v>
      </c>
      <c r="O16" s="22">
        <f>0</f>
        <v>0</v>
      </c>
      <c r="P16" s="22">
        <f>0</f>
        <v>0</v>
      </c>
      <c r="Q16" s="22">
        <f>0</f>
        <v>0</v>
      </c>
    </row>
    <row r="17" spans="1:17" ht="38.25" customHeight="1" x14ac:dyDescent="0.2">
      <c r="A17" s="20" t="s">
        <v>51</v>
      </c>
      <c r="B17" s="21">
        <f>42314366936.78</f>
        <v>42314366936.779999</v>
      </c>
      <c r="C17" s="21">
        <f>20190510335.11</f>
        <v>20190510335.110001</v>
      </c>
      <c r="D17" s="21">
        <f>447939453.65</f>
        <v>447939453.64999998</v>
      </c>
      <c r="E17" s="21">
        <f>0</f>
        <v>0</v>
      </c>
      <c r="F17" s="21">
        <f>250721361.65</f>
        <v>250721361.65000001</v>
      </c>
      <c r="G17" s="21">
        <f>197218092</f>
        <v>197218092</v>
      </c>
      <c r="H17" s="21">
        <f>0</f>
        <v>0</v>
      </c>
      <c r="I17" s="21">
        <f>0</f>
        <v>0</v>
      </c>
      <c r="J17" s="21">
        <f>17584631718.6</f>
        <v>17584631718.599998</v>
      </c>
      <c r="K17" s="21">
        <f>646960351.55</f>
        <v>646960351.54999995</v>
      </c>
      <c r="L17" s="21">
        <f>1510635957.82</f>
        <v>1510635957.8199999</v>
      </c>
      <c r="M17" s="21">
        <f>342853.49</f>
        <v>342853.49</v>
      </c>
      <c r="N17" s="21">
        <f>0</f>
        <v>0</v>
      </c>
      <c r="O17" s="21">
        <f>22123856601.67</f>
        <v>22123856601.669998</v>
      </c>
      <c r="P17" s="21">
        <f>22101356601.67</f>
        <v>22101356601.669998</v>
      </c>
      <c r="Q17" s="21">
        <f>22500000</f>
        <v>22500000</v>
      </c>
    </row>
    <row r="18" spans="1:17" ht="38.25" customHeight="1" x14ac:dyDescent="0.2">
      <c r="A18" s="18" t="s">
        <v>52</v>
      </c>
      <c r="B18" s="22">
        <f>348683.68</f>
        <v>348683.68</v>
      </c>
      <c r="C18" s="22">
        <f>348683.68</f>
        <v>348683.68</v>
      </c>
      <c r="D18" s="22">
        <f>0</f>
        <v>0</v>
      </c>
      <c r="E18" s="22">
        <f>0</f>
        <v>0</v>
      </c>
      <c r="F18" s="22">
        <f>0</f>
        <v>0</v>
      </c>
      <c r="G18" s="22">
        <f>0</f>
        <v>0</v>
      </c>
      <c r="H18" s="22">
        <f>0</f>
        <v>0</v>
      </c>
      <c r="I18" s="22">
        <f>0</f>
        <v>0</v>
      </c>
      <c r="J18" s="22">
        <f>243683.68</f>
        <v>243683.68</v>
      </c>
      <c r="K18" s="22">
        <f>0</f>
        <v>0</v>
      </c>
      <c r="L18" s="22">
        <f>0</f>
        <v>0</v>
      </c>
      <c r="M18" s="22">
        <f>105000</f>
        <v>105000</v>
      </c>
      <c r="N18" s="22">
        <f>0</f>
        <v>0</v>
      </c>
      <c r="O18" s="22">
        <f>0</f>
        <v>0</v>
      </c>
      <c r="P18" s="22">
        <f>0</f>
        <v>0</v>
      </c>
      <c r="Q18" s="22">
        <f>0</f>
        <v>0</v>
      </c>
    </row>
    <row r="19" spans="1:17" ht="38.25" customHeight="1" x14ac:dyDescent="0.2">
      <c r="A19" s="18" t="s">
        <v>53</v>
      </c>
      <c r="B19" s="22">
        <f>42314018253.1</f>
        <v>42314018253.099998</v>
      </c>
      <c r="C19" s="22">
        <f>20190161651.43</f>
        <v>20190161651.43</v>
      </c>
      <c r="D19" s="22">
        <f>447939453.65</f>
        <v>447939453.64999998</v>
      </c>
      <c r="E19" s="22">
        <f>0</f>
        <v>0</v>
      </c>
      <c r="F19" s="22">
        <f>250721361.65</f>
        <v>250721361.65000001</v>
      </c>
      <c r="G19" s="22">
        <f>197218092</f>
        <v>197218092</v>
      </c>
      <c r="H19" s="22">
        <f>0</f>
        <v>0</v>
      </c>
      <c r="I19" s="22">
        <f>0</f>
        <v>0</v>
      </c>
      <c r="J19" s="22">
        <f>17584388034.92</f>
        <v>17584388034.919998</v>
      </c>
      <c r="K19" s="22">
        <f>646960351.55</f>
        <v>646960351.54999995</v>
      </c>
      <c r="L19" s="22">
        <f>1510635957.82</f>
        <v>1510635957.8199999</v>
      </c>
      <c r="M19" s="22">
        <f>237853.49</f>
        <v>237853.49</v>
      </c>
      <c r="N19" s="22">
        <f>0</f>
        <v>0</v>
      </c>
      <c r="O19" s="22">
        <f>22123856601.67</f>
        <v>22123856601.669998</v>
      </c>
      <c r="P19" s="22">
        <f>22101356601.67</f>
        <v>22101356601.669998</v>
      </c>
      <c r="Q19" s="22">
        <f>22500000</f>
        <v>22500000</v>
      </c>
    </row>
    <row r="20" spans="1:17" ht="38.25" customHeight="1" x14ac:dyDescent="0.2">
      <c r="A20" s="20" t="s">
        <v>54</v>
      </c>
      <c r="B20" s="21">
        <f>0</f>
        <v>0</v>
      </c>
      <c r="C20" s="21">
        <f>0</f>
        <v>0</v>
      </c>
      <c r="D20" s="21">
        <f>0</f>
        <v>0</v>
      </c>
      <c r="E20" s="21">
        <f>0</f>
        <v>0</v>
      </c>
      <c r="F20" s="21">
        <f>0</f>
        <v>0</v>
      </c>
      <c r="G20" s="21">
        <f>0</f>
        <v>0</v>
      </c>
      <c r="H20" s="21">
        <f>0</f>
        <v>0</v>
      </c>
      <c r="I20" s="21">
        <f>0</f>
        <v>0</v>
      </c>
      <c r="J20" s="21">
        <f>0</f>
        <v>0</v>
      </c>
      <c r="K20" s="21">
        <f>0</f>
        <v>0</v>
      </c>
      <c r="L20" s="21">
        <f>0</f>
        <v>0</v>
      </c>
      <c r="M20" s="21">
        <f>0</f>
        <v>0</v>
      </c>
      <c r="N20" s="21">
        <f>0</f>
        <v>0</v>
      </c>
      <c r="O20" s="21">
        <f>0</f>
        <v>0</v>
      </c>
      <c r="P20" s="21">
        <f>0</f>
        <v>0</v>
      </c>
      <c r="Q20" s="21">
        <f>0</f>
        <v>0</v>
      </c>
    </row>
    <row r="21" spans="1:17" ht="38.25" customHeight="1" x14ac:dyDescent="0.2">
      <c r="A21" s="20" t="s">
        <v>80</v>
      </c>
      <c r="B21" s="21">
        <f>17144917.01</f>
        <v>17144917.010000002</v>
      </c>
      <c r="C21" s="21">
        <f>17144917.01</f>
        <v>17144917.010000002</v>
      </c>
      <c r="D21" s="21">
        <f>3212131.15</f>
        <v>3212131.15</v>
      </c>
      <c r="E21" s="21">
        <f>2060.48</f>
        <v>2060.48</v>
      </c>
      <c r="F21" s="21">
        <f>17750.45</f>
        <v>17750.45</v>
      </c>
      <c r="G21" s="21">
        <f>3192182.53</f>
        <v>3192182.53</v>
      </c>
      <c r="H21" s="21">
        <f>137.69</f>
        <v>137.69</v>
      </c>
      <c r="I21" s="21">
        <f>0</f>
        <v>0</v>
      </c>
      <c r="J21" s="21">
        <f>0</f>
        <v>0</v>
      </c>
      <c r="K21" s="21">
        <f>73.5</f>
        <v>73.5</v>
      </c>
      <c r="L21" s="21">
        <f>2114784.7</f>
        <v>2114784.7000000002</v>
      </c>
      <c r="M21" s="21">
        <f>9717038.8</f>
        <v>9717038.8000000007</v>
      </c>
      <c r="N21" s="21">
        <f>2100888.86</f>
        <v>2100888.86</v>
      </c>
      <c r="O21" s="21">
        <f>0</f>
        <v>0</v>
      </c>
      <c r="P21" s="21">
        <f>0</f>
        <v>0</v>
      </c>
      <c r="Q21" s="21">
        <f>0</f>
        <v>0</v>
      </c>
    </row>
    <row r="22" spans="1:17" ht="38.25" customHeight="1" x14ac:dyDescent="0.2">
      <c r="A22" s="18" t="s">
        <v>55</v>
      </c>
      <c r="B22" s="22">
        <f>12262641.33</f>
        <v>12262641.33</v>
      </c>
      <c r="C22" s="22">
        <f>12262641.33</f>
        <v>12262641.33</v>
      </c>
      <c r="D22" s="22">
        <f>1148029.73</f>
        <v>1148029.73</v>
      </c>
      <c r="E22" s="22">
        <f>476.48</f>
        <v>476.48</v>
      </c>
      <c r="F22" s="22">
        <f>0</f>
        <v>0</v>
      </c>
      <c r="G22" s="22">
        <f>1147553.25</f>
        <v>1147553.25</v>
      </c>
      <c r="H22" s="22">
        <f>0</f>
        <v>0</v>
      </c>
      <c r="I22" s="22">
        <f>0</f>
        <v>0</v>
      </c>
      <c r="J22" s="22">
        <f>0</f>
        <v>0</v>
      </c>
      <c r="K22" s="22">
        <f>0</f>
        <v>0</v>
      </c>
      <c r="L22" s="22">
        <f>370315.86</f>
        <v>370315.86</v>
      </c>
      <c r="M22" s="22">
        <f>8646089.92</f>
        <v>8646089.9199999999</v>
      </c>
      <c r="N22" s="22">
        <f>2098205.82</f>
        <v>2098205.8199999998</v>
      </c>
      <c r="O22" s="22">
        <f>0</f>
        <v>0</v>
      </c>
      <c r="P22" s="22">
        <f>0</f>
        <v>0</v>
      </c>
      <c r="Q22" s="22">
        <f>0</f>
        <v>0</v>
      </c>
    </row>
    <row r="23" spans="1:17" ht="38.25" customHeight="1" x14ac:dyDescent="0.2">
      <c r="A23" s="18" t="s">
        <v>56</v>
      </c>
      <c r="B23" s="22">
        <f>4882275.68</f>
        <v>4882275.68</v>
      </c>
      <c r="C23" s="22">
        <f>4882275.68</f>
        <v>4882275.68</v>
      </c>
      <c r="D23" s="22">
        <f>2064101.42</f>
        <v>2064101.42</v>
      </c>
      <c r="E23" s="22">
        <f>1584</f>
        <v>1584</v>
      </c>
      <c r="F23" s="22">
        <f>17750.45</f>
        <v>17750.45</v>
      </c>
      <c r="G23" s="22">
        <f>2044629.28</f>
        <v>2044629.28</v>
      </c>
      <c r="H23" s="22">
        <f>137.69</f>
        <v>137.69</v>
      </c>
      <c r="I23" s="22">
        <f>0</f>
        <v>0</v>
      </c>
      <c r="J23" s="22">
        <f>0</f>
        <v>0</v>
      </c>
      <c r="K23" s="22">
        <f>73.5</f>
        <v>73.5</v>
      </c>
      <c r="L23" s="22">
        <f>1744468.84</f>
        <v>1744468.84</v>
      </c>
      <c r="M23" s="22">
        <f>1070948.88</f>
        <v>1070948.8799999999</v>
      </c>
      <c r="N23" s="22">
        <f>2683.04</f>
        <v>2683.04</v>
      </c>
      <c r="O23" s="22">
        <f>0</f>
        <v>0</v>
      </c>
      <c r="P23" s="22">
        <f>0</f>
        <v>0</v>
      </c>
      <c r="Q23" s="22">
        <f>0</f>
        <v>0</v>
      </c>
    </row>
    <row r="24" spans="1:17" ht="19.5" customHeight="1" x14ac:dyDescent="0.2">
      <c r="A24" s="16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</row>
    <row r="25" spans="1:17" ht="19.5" customHeight="1" x14ac:dyDescent="0.2">
      <c r="A25" s="16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</row>
    <row r="26" spans="1:17" ht="19.5" customHeight="1" x14ac:dyDescent="0.2">
      <c r="A26" s="16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</row>
    <row r="27" spans="1:17" ht="19.5" customHeight="1" x14ac:dyDescent="0.2">
      <c r="A27" s="16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</row>
    <row r="28" spans="1:17" ht="19.5" customHeight="1" x14ac:dyDescent="0.2">
      <c r="A28" s="16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</row>
    <row r="29" spans="1:17" ht="19.5" customHeight="1" x14ac:dyDescent="0.2">
      <c r="A29" s="16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</row>
    <row r="30" spans="1:17" ht="45.75" customHeight="1" x14ac:dyDescent="0.2">
      <c r="A30" s="36" t="str">
        <f>CONCATENATE("Informacja z wykonania budżetów miast na prawach powiatu za  ",$C$93," ",$B$94," roku     ",$B$96,"")</f>
        <v xml:space="preserve">Informacja z wykonania budżetów miast na prawach powiatu za  IV Kwartały 2022 roku     </v>
      </c>
      <c r="B30" s="36"/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</row>
    <row r="32" spans="1:17" ht="13.5" customHeight="1" x14ac:dyDescent="0.2">
      <c r="A32" s="37" t="s">
        <v>12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</row>
    <row r="34" spans="1:17" ht="13.5" customHeight="1" x14ac:dyDescent="0.2">
      <c r="A34" s="26" t="s">
        <v>0</v>
      </c>
      <c r="B34" s="38" t="s">
        <v>13</v>
      </c>
      <c r="C34" s="33" t="s">
        <v>15</v>
      </c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5"/>
      <c r="O34" s="33" t="s">
        <v>25</v>
      </c>
      <c r="P34" s="34"/>
      <c r="Q34" s="35"/>
    </row>
    <row r="35" spans="1:17" ht="13.5" customHeight="1" x14ac:dyDescent="0.2">
      <c r="A35" s="27"/>
      <c r="B35" s="29"/>
      <c r="C35" s="29" t="s">
        <v>14</v>
      </c>
      <c r="D35" s="31" t="s">
        <v>16</v>
      </c>
      <c r="E35" s="31" t="s">
        <v>26</v>
      </c>
      <c r="F35" s="31" t="s">
        <v>27</v>
      </c>
      <c r="G35" s="31" t="s">
        <v>75</v>
      </c>
      <c r="H35" s="31" t="s">
        <v>29</v>
      </c>
      <c r="I35" s="31" t="s">
        <v>2</v>
      </c>
      <c r="J35" s="31" t="s">
        <v>17</v>
      </c>
      <c r="K35" s="31" t="s">
        <v>18</v>
      </c>
      <c r="L35" s="31" t="s">
        <v>19</v>
      </c>
      <c r="M35" s="31" t="s">
        <v>20</v>
      </c>
      <c r="N35" s="75" t="s">
        <v>21</v>
      </c>
      <c r="O35" s="31" t="s">
        <v>22</v>
      </c>
      <c r="P35" s="31" t="s">
        <v>23</v>
      </c>
      <c r="Q35" s="38" t="s">
        <v>24</v>
      </c>
    </row>
    <row r="36" spans="1:17" ht="11.25" customHeight="1" x14ac:dyDescent="0.2">
      <c r="A36" s="27"/>
      <c r="B36" s="29"/>
      <c r="C36" s="29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75"/>
      <c r="O36" s="31"/>
      <c r="P36" s="31"/>
      <c r="Q36" s="29"/>
    </row>
    <row r="37" spans="1:17" ht="24.75" customHeight="1" x14ac:dyDescent="0.2">
      <c r="A37" s="28"/>
      <c r="B37" s="30"/>
      <c r="C37" s="30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75"/>
      <c r="O37" s="31"/>
      <c r="P37" s="31"/>
      <c r="Q37" s="30"/>
    </row>
    <row r="38" spans="1:17" ht="13.5" customHeight="1" x14ac:dyDescent="0.2">
      <c r="A38" s="14">
        <v>1</v>
      </c>
      <c r="B38" s="14">
        <v>2</v>
      </c>
      <c r="C38" s="14">
        <v>3</v>
      </c>
      <c r="D38" s="14">
        <v>4</v>
      </c>
      <c r="E38" s="14">
        <v>5</v>
      </c>
      <c r="F38" s="14">
        <v>6</v>
      </c>
      <c r="G38" s="14">
        <v>7</v>
      </c>
      <c r="H38" s="14">
        <v>8</v>
      </c>
      <c r="I38" s="14">
        <v>9</v>
      </c>
      <c r="J38" s="14">
        <v>10</v>
      </c>
      <c r="K38" s="14">
        <v>11</v>
      </c>
      <c r="L38" s="14">
        <v>12</v>
      </c>
      <c r="M38" s="14">
        <v>13</v>
      </c>
      <c r="N38" s="14">
        <v>14</v>
      </c>
      <c r="O38" s="14">
        <v>15</v>
      </c>
      <c r="P38" s="14">
        <v>16</v>
      </c>
      <c r="Q38" s="14">
        <v>17</v>
      </c>
    </row>
    <row r="39" spans="1:17" ht="12.75" customHeight="1" x14ac:dyDescent="0.2">
      <c r="A39" s="13"/>
      <c r="B39" s="61" t="s">
        <v>79</v>
      </c>
      <c r="C39" s="74"/>
      <c r="D39" s="74"/>
      <c r="E39" s="74"/>
      <c r="F39" s="74"/>
      <c r="G39" s="74"/>
      <c r="H39" s="74"/>
      <c r="I39" s="74"/>
      <c r="J39" s="74"/>
      <c r="K39" s="74"/>
      <c r="L39" s="74"/>
      <c r="M39" s="74"/>
      <c r="N39" s="74"/>
      <c r="O39" s="74"/>
      <c r="P39" s="74"/>
      <c r="Q39" s="62"/>
    </row>
    <row r="40" spans="1:17" ht="26.25" customHeight="1" x14ac:dyDescent="0.2">
      <c r="A40" s="25" t="s">
        <v>42</v>
      </c>
      <c r="B40" s="23">
        <f>100453.82</f>
        <v>100453.82</v>
      </c>
      <c r="C40" s="23">
        <f>100453.82</f>
        <v>100453.82</v>
      </c>
      <c r="D40" s="23">
        <f>0</f>
        <v>0</v>
      </c>
      <c r="E40" s="23">
        <f>0</f>
        <v>0</v>
      </c>
      <c r="F40" s="23">
        <f>0</f>
        <v>0</v>
      </c>
      <c r="G40" s="23">
        <f>0</f>
        <v>0</v>
      </c>
      <c r="H40" s="23">
        <f>0</f>
        <v>0</v>
      </c>
      <c r="I40" s="23">
        <f>0</f>
        <v>0</v>
      </c>
      <c r="J40" s="23">
        <f>0</f>
        <v>0</v>
      </c>
      <c r="K40" s="23">
        <f>0</f>
        <v>0</v>
      </c>
      <c r="L40" s="23">
        <f>100453.82</f>
        <v>100453.82</v>
      </c>
      <c r="M40" s="23">
        <f>0</f>
        <v>0</v>
      </c>
      <c r="N40" s="23">
        <f>0</f>
        <v>0</v>
      </c>
      <c r="O40" s="23">
        <f>0</f>
        <v>0</v>
      </c>
      <c r="P40" s="23">
        <f>0</f>
        <v>0</v>
      </c>
      <c r="Q40" s="23">
        <f>0</f>
        <v>0</v>
      </c>
    </row>
    <row r="41" spans="1:17" ht="26.25" customHeight="1" x14ac:dyDescent="0.2">
      <c r="A41" s="19" t="s">
        <v>30</v>
      </c>
      <c r="B41" s="24">
        <f>0</f>
        <v>0</v>
      </c>
      <c r="C41" s="24">
        <f>0</f>
        <v>0</v>
      </c>
      <c r="D41" s="24">
        <f>0</f>
        <v>0</v>
      </c>
      <c r="E41" s="24">
        <f>0</f>
        <v>0</v>
      </c>
      <c r="F41" s="24">
        <f>0</f>
        <v>0</v>
      </c>
      <c r="G41" s="24">
        <f>0</f>
        <v>0</v>
      </c>
      <c r="H41" s="24">
        <f>0</f>
        <v>0</v>
      </c>
      <c r="I41" s="24">
        <f>0</f>
        <v>0</v>
      </c>
      <c r="J41" s="24">
        <f>0</f>
        <v>0</v>
      </c>
      <c r="K41" s="24">
        <f>0</f>
        <v>0</v>
      </c>
      <c r="L41" s="24">
        <f>0</f>
        <v>0</v>
      </c>
      <c r="M41" s="24">
        <f>0</f>
        <v>0</v>
      </c>
      <c r="N41" s="24">
        <f>0</f>
        <v>0</v>
      </c>
      <c r="O41" s="24">
        <f>0</f>
        <v>0</v>
      </c>
      <c r="P41" s="24">
        <f>0</f>
        <v>0</v>
      </c>
      <c r="Q41" s="24">
        <f>0</f>
        <v>0</v>
      </c>
    </row>
    <row r="42" spans="1:17" ht="26.25" customHeight="1" x14ac:dyDescent="0.2">
      <c r="A42" s="19" t="s">
        <v>31</v>
      </c>
      <c r="B42" s="24">
        <f>100453.82</f>
        <v>100453.82</v>
      </c>
      <c r="C42" s="24">
        <f>100453.82</f>
        <v>100453.82</v>
      </c>
      <c r="D42" s="24">
        <f>0</f>
        <v>0</v>
      </c>
      <c r="E42" s="24">
        <f>0</f>
        <v>0</v>
      </c>
      <c r="F42" s="24">
        <f>0</f>
        <v>0</v>
      </c>
      <c r="G42" s="24">
        <f>0</f>
        <v>0</v>
      </c>
      <c r="H42" s="24">
        <f>0</f>
        <v>0</v>
      </c>
      <c r="I42" s="24">
        <f>0</f>
        <v>0</v>
      </c>
      <c r="J42" s="24">
        <f>0</f>
        <v>0</v>
      </c>
      <c r="K42" s="24">
        <f>0</f>
        <v>0</v>
      </c>
      <c r="L42" s="24">
        <f>100453.82</f>
        <v>100453.82</v>
      </c>
      <c r="M42" s="24">
        <f>0</f>
        <v>0</v>
      </c>
      <c r="N42" s="24">
        <f>0</f>
        <v>0</v>
      </c>
      <c r="O42" s="24">
        <f>0</f>
        <v>0</v>
      </c>
      <c r="P42" s="24">
        <f>0</f>
        <v>0</v>
      </c>
      <c r="Q42" s="24">
        <f>0</f>
        <v>0</v>
      </c>
    </row>
    <row r="43" spans="1:17" ht="26.25" customHeight="1" x14ac:dyDescent="0.2">
      <c r="A43" s="25" t="s">
        <v>43</v>
      </c>
      <c r="B43" s="23">
        <f>368093885.66</f>
        <v>368093885.66000003</v>
      </c>
      <c r="C43" s="23">
        <f>368093885.66</f>
        <v>368093885.66000003</v>
      </c>
      <c r="D43" s="23">
        <f>123431941.26</f>
        <v>123431941.26000001</v>
      </c>
      <c r="E43" s="23">
        <f>0</f>
        <v>0</v>
      </c>
      <c r="F43" s="23">
        <f>55017</f>
        <v>55017</v>
      </c>
      <c r="G43" s="23">
        <f>123376924.26</f>
        <v>123376924.26000001</v>
      </c>
      <c r="H43" s="23">
        <f>0</f>
        <v>0</v>
      </c>
      <c r="I43" s="23">
        <f>0</f>
        <v>0</v>
      </c>
      <c r="J43" s="23">
        <f>0</f>
        <v>0</v>
      </c>
      <c r="K43" s="23">
        <f>4560</f>
        <v>4560</v>
      </c>
      <c r="L43" s="23">
        <f>154337427.13</f>
        <v>154337427.13</v>
      </c>
      <c r="M43" s="23">
        <f>85559177.5</f>
        <v>85559177.5</v>
      </c>
      <c r="N43" s="23">
        <f>4760779.77</f>
        <v>4760779.7699999996</v>
      </c>
      <c r="O43" s="23">
        <f>0</f>
        <v>0</v>
      </c>
      <c r="P43" s="23">
        <f>0</f>
        <v>0</v>
      </c>
      <c r="Q43" s="23">
        <f>0</f>
        <v>0</v>
      </c>
    </row>
    <row r="44" spans="1:17" ht="26.25" customHeight="1" x14ac:dyDescent="0.2">
      <c r="A44" s="19" t="s">
        <v>32</v>
      </c>
      <c r="B44" s="24">
        <f>40728500.01</f>
        <v>40728500.009999998</v>
      </c>
      <c r="C44" s="24">
        <f>40728500.01</f>
        <v>40728500.009999998</v>
      </c>
      <c r="D44" s="24">
        <f>11184108.99</f>
        <v>11184108.99</v>
      </c>
      <c r="E44" s="24">
        <f>0</f>
        <v>0</v>
      </c>
      <c r="F44" s="24">
        <f>0</f>
        <v>0</v>
      </c>
      <c r="G44" s="24">
        <f>11184108.99</f>
        <v>11184108.99</v>
      </c>
      <c r="H44" s="24">
        <f>0</f>
        <v>0</v>
      </c>
      <c r="I44" s="24">
        <f>0</f>
        <v>0</v>
      </c>
      <c r="J44" s="24">
        <f>0</f>
        <v>0</v>
      </c>
      <c r="K44" s="24">
        <f>4560</f>
        <v>4560</v>
      </c>
      <c r="L44" s="24">
        <f>11741323.53</f>
        <v>11741323.529999999</v>
      </c>
      <c r="M44" s="24">
        <f>17738507.49</f>
        <v>17738507.489999998</v>
      </c>
      <c r="N44" s="24">
        <f>60000</f>
        <v>60000</v>
      </c>
      <c r="O44" s="24">
        <f>0</f>
        <v>0</v>
      </c>
      <c r="P44" s="24">
        <f>0</f>
        <v>0</v>
      </c>
      <c r="Q44" s="24">
        <f>0</f>
        <v>0</v>
      </c>
    </row>
    <row r="45" spans="1:17" ht="26.25" customHeight="1" x14ac:dyDescent="0.2">
      <c r="A45" s="19" t="s">
        <v>33</v>
      </c>
      <c r="B45" s="24">
        <f>327365385.65</f>
        <v>327365385.64999998</v>
      </c>
      <c r="C45" s="24">
        <f>327365385.65</f>
        <v>327365385.64999998</v>
      </c>
      <c r="D45" s="24">
        <f>112247832.27</f>
        <v>112247832.27</v>
      </c>
      <c r="E45" s="24">
        <f>0</f>
        <v>0</v>
      </c>
      <c r="F45" s="24">
        <f>55017</f>
        <v>55017</v>
      </c>
      <c r="G45" s="24">
        <f>112192815.27</f>
        <v>112192815.27</v>
      </c>
      <c r="H45" s="24">
        <f>0</f>
        <v>0</v>
      </c>
      <c r="I45" s="24">
        <f>0</f>
        <v>0</v>
      </c>
      <c r="J45" s="24">
        <f>0</f>
        <v>0</v>
      </c>
      <c r="K45" s="24">
        <f>0</f>
        <v>0</v>
      </c>
      <c r="L45" s="24">
        <f>142596103.6</f>
        <v>142596103.59999999</v>
      </c>
      <c r="M45" s="24">
        <f>67820670.01</f>
        <v>67820670.010000005</v>
      </c>
      <c r="N45" s="24">
        <f>4700779.77</f>
        <v>4700779.7699999996</v>
      </c>
      <c r="O45" s="24">
        <f>0</f>
        <v>0</v>
      </c>
      <c r="P45" s="24">
        <f>0</f>
        <v>0</v>
      </c>
      <c r="Q45" s="24">
        <f>0</f>
        <v>0</v>
      </c>
    </row>
    <row r="46" spans="1:17" ht="26.25" customHeight="1" x14ac:dyDescent="0.2">
      <c r="A46" s="25" t="s">
        <v>44</v>
      </c>
      <c r="B46" s="23">
        <f>10907195771.47</f>
        <v>10907195771.469999</v>
      </c>
      <c r="C46" s="23">
        <f>10907195771.47</f>
        <v>10907195771.469999</v>
      </c>
      <c r="D46" s="23">
        <f>3364503.6</f>
        <v>3364503.6</v>
      </c>
      <c r="E46" s="23">
        <f>89963.34</f>
        <v>89963.34</v>
      </c>
      <c r="F46" s="23">
        <f>28291</f>
        <v>28291</v>
      </c>
      <c r="G46" s="23">
        <f>3246249.26</f>
        <v>3246249.26</v>
      </c>
      <c r="H46" s="23">
        <f>0</f>
        <v>0</v>
      </c>
      <c r="I46" s="23">
        <f>4637475.79</f>
        <v>4637475.79</v>
      </c>
      <c r="J46" s="23">
        <f>10896854055.93</f>
        <v>10896854055.93</v>
      </c>
      <c r="K46" s="23">
        <f>44259.89</f>
        <v>44259.89</v>
      </c>
      <c r="L46" s="23">
        <f>2240445.6</f>
        <v>2240445.6</v>
      </c>
      <c r="M46" s="23">
        <f>55030.66</f>
        <v>55030.66</v>
      </c>
      <c r="N46" s="23">
        <f>0</f>
        <v>0</v>
      </c>
      <c r="O46" s="23">
        <f>0</f>
        <v>0</v>
      </c>
      <c r="P46" s="23">
        <f>0</f>
        <v>0</v>
      </c>
      <c r="Q46" s="23">
        <f>0</f>
        <v>0</v>
      </c>
    </row>
    <row r="47" spans="1:17" ht="26.25" customHeight="1" x14ac:dyDescent="0.2">
      <c r="A47" s="19" t="s">
        <v>34</v>
      </c>
      <c r="B47" s="24">
        <f>3168958.98</f>
        <v>3168958.98</v>
      </c>
      <c r="C47" s="24">
        <f>3168958.98</f>
        <v>3168958.98</v>
      </c>
      <c r="D47" s="24">
        <f>3168958.98</f>
        <v>3168958.98</v>
      </c>
      <c r="E47" s="24">
        <f>0</f>
        <v>0</v>
      </c>
      <c r="F47" s="24">
        <f>0</f>
        <v>0</v>
      </c>
      <c r="G47" s="24">
        <f>3168958.98</f>
        <v>3168958.98</v>
      </c>
      <c r="H47" s="24">
        <f>0</f>
        <v>0</v>
      </c>
      <c r="I47" s="24">
        <f>0</f>
        <v>0</v>
      </c>
      <c r="J47" s="24">
        <f>0</f>
        <v>0</v>
      </c>
      <c r="K47" s="24">
        <f>0</f>
        <v>0</v>
      </c>
      <c r="L47" s="24">
        <f>0</f>
        <v>0</v>
      </c>
      <c r="M47" s="24">
        <f>0</f>
        <v>0</v>
      </c>
      <c r="N47" s="24">
        <f>0</f>
        <v>0</v>
      </c>
      <c r="O47" s="24">
        <f>0</f>
        <v>0</v>
      </c>
      <c r="P47" s="24">
        <f>0</f>
        <v>0</v>
      </c>
      <c r="Q47" s="24">
        <f>0</f>
        <v>0</v>
      </c>
    </row>
    <row r="48" spans="1:17" ht="26.25" customHeight="1" x14ac:dyDescent="0.2">
      <c r="A48" s="19" t="s">
        <v>35</v>
      </c>
      <c r="B48" s="24">
        <f>7751296079.61</f>
        <v>7751296079.6099997</v>
      </c>
      <c r="C48" s="24">
        <f>7751296079.61</f>
        <v>7751296079.6099997</v>
      </c>
      <c r="D48" s="24">
        <f>26469.13</f>
        <v>26469.13</v>
      </c>
      <c r="E48" s="24">
        <f>14000</f>
        <v>14000</v>
      </c>
      <c r="F48" s="24">
        <f>0</f>
        <v>0</v>
      </c>
      <c r="G48" s="24">
        <f>12469.13</f>
        <v>12469.13</v>
      </c>
      <c r="H48" s="24">
        <f>0</f>
        <v>0</v>
      </c>
      <c r="I48" s="24">
        <f>4585059.79</f>
        <v>4585059.79</v>
      </c>
      <c r="J48" s="24">
        <f>7745811462.25</f>
        <v>7745811462.25</v>
      </c>
      <c r="K48" s="24">
        <f>44259.89</f>
        <v>44259.89</v>
      </c>
      <c r="L48" s="24">
        <f>828828.55</f>
        <v>828828.55</v>
      </c>
      <c r="M48" s="24">
        <f>0</f>
        <v>0</v>
      </c>
      <c r="N48" s="24">
        <f>0</f>
        <v>0</v>
      </c>
      <c r="O48" s="24">
        <f>0</f>
        <v>0</v>
      </c>
      <c r="P48" s="24">
        <f>0</f>
        <v>0</v>
      </c>
      <c r="Q48" s="24">
        <f>0</f>
        <v>0</v>
      </c>
    </row>
    <row r="49" spans="1:17" ht="26.25" customHeight="1" x14ac:dyDescent="0.2">
      <c r="A49" s="19" t="s">
        <v>36</v>
      </c>
      <c r="B49" s="24">
        <f>3152730732.88</f>
        <v>3152730732.8800001</v>
      </c>
      <c r="C49" s="24">
        <f>3152730732.88</f>
        <v>3152730732.8800001</v>
      </c>
      <c r="D49" s="24">
        <f>169075.49</f>
        <v>169075.49</v>
      </c>
      <c r="E49" s="24">
        <f>75963.34</f>
        <v>75963.34</v>
      </c>
      <c r="F49" s="24">
        <f>28291</f>
        <v>28291</v>
      </c>
      <c r="G49" s="24">
        <f>64821.15</f>
        <v>64821.15</v>
      </c>
      <c r="H49" s="24">
        <f>0</f>
        <v>0</v>
      </c>
      <c r="I49" s="24">
        <f>52416</f>
        <v>52416</v>
      </c>
      <c r="J49" s="24">
        <f>3151042593.68</f>
        <v>3151042593.6799998</v>
      </c>
      <c r="K49" s="24">
        <f>0</f>
        <v>0</v>
      </c>
      <c r="L49" s="24">
        <f>1411617.05</f>
        <v>1411617.05</v>
      </c>
      <c r="M49" s="24">
        <f>55030.66</f>
        <v>55030.66</v>
      </c>
      <c r="N49" s="24">
        <f>0</f>
        <v>0</v>
      </c>
      <c r="O49" s="24">
        <f>0</f>
        <v>0</v>
      </c>
      <c r="P49" s="24">
        <f>0</f>
        <v>0</v>
      </c>
      <c r="Q49" s="24">
        <f>0</f>
        <v>0</v>
      </c>
    </row>
    <row r="50" spans="1:17" ht="26.25" customHeight="1" x14ac:dyDescent="0.2">
      <c r="A50" s="25" t="s">
        <v>45</v>
      </c>
      <c r="B50" s="23">
        <f>12181848934.97</f>
        <v>12181848934.969999</v>
      </c>
      <c r="C50" s="23">
        <f>12156182676.06</f>
        <v>12156182676.059999</v>
      </c>
      <c r="D50" s="23">
        <f>371738034.26</f>
        <v>371738034.25999999</v>
      </c>
      <c r="E50" s="23">
        <f>68572031.92</f>
        <v>68572031.920000002</v>
      </c>
      <c r="F50" s="23">
        <f>8650504.71</f>
        <v>8650504.7100000009</v>
      </c>
      <c r="G50" s="23">
        <f>292617391.93</f>
        <v>292617391.93000001</v>
      </c>
      <c r="H50" s="23">
        <f>1898105.7</f>
        <v>1898105.7</v>
      </c>
      <c r="I50" s="23">
        <f>0</f>
        <v>0</v>
      </c>
      <c r="J50" s="23">
        <f>141734.89</f>
        <v>141734.89000000001</v>
      </c>
      <c r="K50" s="23">
        <f>2478874.07</f>
        <v>2478874.0699999998</v>
      </c>
      <c r="L50" s="23">
        <f>2710471592.17</f>
        <v>2710471592.1700001</v>
      </c>
      <c r="M50" s="23">
        <f>8993928912.26</f>
        <v>8993928912.2600002</v>
      </c>
      <c r="N50" s="23">
        <f>77423528.41</f>
        <v>77423528.409999996</v>
      </c>
      <c r="O50" s="23">
        <f>25666258.91</f>
        <v>25666258.91</v>
      </c>
      <c r="P50" s="23">
        <f>14251723.23</f>
        <v>14251723.23</v>
      </c>
      <c r="Q50" s="23">
        <f>11414535.68</f>
        <v>11414535.68</v>
      </c>
    </row>
    <row r="51" spans="1:17" ht="26.25" customHeight="1" x14ac:dyDescent="0.2">
      <c r="A51" s="19" t="s">
        <v>37</v>
      </c>
      <c r="B51" s="24">
        <f>5069954324.4</f>
        <v>5069954324.3999996</v>
      </c>
      <c r="C51" s="24">
        <f>5067809921.97</f>
        <v>5067809921.9700003</v>
      </c>
      <c r="D51" s="24">
        <f>67471833.65</f>
        <v>67471833.650000006</v>
      </c>
      <c r="E51" s="24">
        <f>1262996.79</f>
        <v>1262996.79</v>
      </c>
      <c r="F51" s="24">
        <f>2562892.96</f>
        <v>2562892.96</v>
      </c>
      <c r="G51" s="24">
        <f>63640065.71</f>
        <v>63640065.710000001</v>
      </c>
      <c r="H51" s="24">
        <f>5878.19</f>
        <v>5878.19</v>
      </c>
      <c r="I51" s="24">
        <f>0</f>
        <v>0</v>
      </c>
      <c r="J51" s="24">
        <f>8922.66</f>
        <v>8922.66</v>
      </c>
      <c r="K51" s="24">
        <f>374759.55</f>
        <v>374759.55</v>
      </c>
      <c r="L51" s="24">
        <f>654212423.12</f>
        <v>654212423.12</v>
      </c>
      <c r="M51" s="24">
        <f>4303879163.35</f>
        <v>4303879163.3500004</v>
      </c>
      <c r="N51" s="24">
        <f>41862819.64</f>
        <v>41862819.640000001</v>
      </c>
      <c r="O51" s="24">
        <f>2144402.43</f>
        <v>2144402.4300000002</v>
      </c>
      <c r="P51" s="24">
        <f>593735.79</f>
        <v>593735.79</v>
      </c>
      <c r="Q51" s="24">
        <f>1550666.64</f>
        <v>1550666.64</v>
      </c>
    </row>
    <row r="52" spans="1:17" ht="26.25" customHeight="1" x14ac:dyDescent="0.2">
      <c r="A52" s="19" t="s">
        <v>38</v>
      </c>
      <c r="B52" s="24">
        <f>7111894610.57</f>
        <v>7111894610.5699997</v>
      </c>
      <c r="C52" s="24">
        <f>7088372754.09</f>
        <v>7088372754.0900002</v>
      </c>
      <c r="D52" s="24">
        <f>304266200.61</f>
        <v>304266200.61000001</v>
      </c>
      <c r="E52" s="24">
        <f>67309035.13</f>
        <v>67309035.129999995</v>
      </c>
      <c r="F52" s="24">
        <f>6087611.75</f>
        <v>6087611.75</v>
      </c>
      <c r="G52" s="24">
        <f>228977326.22</f>
        <v>228977326.22</v>
      </c>
      <c r="H52" s="24">
        <f>1892227.51</f>
        <v>1892227.51</v>
      </c>
      <c r="I52" s="24">
        <f>0</f>
        <v>0</v>
      </c>
      <c r="J52" s="24">
        <f>132812.23</f>
        <v>132812.23000000001</v>
      </c>
      <c r="K52" s="24">
        <f>2104114.52</f>
        <v>2104114.52</v>
      </c>
      <c r="L52" s="24">
        <f>2056259169.05</f>
        <v>2056259169.05</v>
      </c>
      <c r="M52" s="24">
        <f>4690049748.91</f>
        <v>4690049748.9099998</v>
      </c>
      <c r="N52" s="24">
        <f>35560708.77</f>
        <v>35560708.770000003</v>
      </c>
      <c r="O52" s="24">
        <f>23521856.48</f>
        <v>23521856.48</v>
      </c>
      <c r="P52" s="24">
        <f>13657987.44</f>
        <v>13657987.439999999</v>
      </c>
      <c r="Q52" s="24">
        <f>9863869.04</f>
        <v>9863869.0399999991</v>
      </c>
    </row>
    <row r="53" spans="1:17" ht="26.25" customHeight="1" x14ac:dyDescent="0.2">
      <c r="A53" s="25" t="s">
        <v>46</v>
      </c>
      <c r="B53" s="23">
        <f>3671705271.84</f>
        <v>3671705271.8400002</v>
      </c>
      <c r="C53" s="23">
        <f>3653043935.02</f>
        <v>3653043935.02</v>
      </c>
      <c r="D53" s="23">
        <f>666990570.8</f>
        <v>666990570.79999995</v>
      </c>
      <c r="E53" s="23">
        <f>389185599.24</f>
        <v>389185599.24000001</v>
      </c>
      <c r="F53" s="23">
        <f>7187818.09</f>
        <v>7187818.0899999999</v>
      </c>
      <c r="G53" s="23">
        <f>259030553.84</f>
        <v>259030553.84</v>
      </c>
      <c r="H53" s="23">
        <f>11586599.63</f>
        <v>11586599.630000001</v>
      </c>
      <c r="I53" s="23">
        <f>56565.72</f>
        <v>56565.72</v>
      </c>
      <c r="J53" s="23">
        <f>389345.71</f>
        <v>389345.71</v>
      </c>
      <c r="K53" s="23">
        <f>2353656.83</f>
        <v>2353656.83</v>
      </c>
      <c r="L53" s="23">
        <f>1634852832.27</f>
        <v>1634852832.27</v>
      </c>
      <c r="M53" s="23">
        <f>1144750107.46</f>
        <v>1144750107.46</v>
      </c>
      <c r="N53" s="23">
        <f>203650856.23</f>
        <v>203650856.22999999</v>
      </c>
      <c r="O53" s="23">
        <f>18661336.82</f>
        <v>18661336.82</v>
      </c>
      <c r="P53" s="23">
        <f>11901781.66</f>
        <v>11901781.66</v>
      </c>
      <c r="Q53" s="23">
        <f>6759555.16</f>
        <v>6759555.1600000001</v>
      </c>
    </row>
    <row r="54" spans="1:17" ht="26.25" customHeight="1" x14ac:dyDescent="0.2">
      <c r="A54" s="19" t="s">
        <v>39</v>
      </c>
      <c r="B54" s="24">
        <f>614024087.04</f>
        <v>614024087.03999996</v>
      </c>
      <c r="C54" s="24">
        <f>613159164.13</f>
        <v>613159164.13</v>
      </c>
      <c r="D54" s="24">
        <f>26606327.21</f>
        <v>26606327.210000001</v>
      </c>
      <c r="E54" s="24">
        <f>1507611.09</f>
        <v>1507611.09</v>
      </c>
      <c r="F54" s="24">
        <f>1683608.83</f>
        <v>1683608.83</v>
      </c>
      <c r="G54" s="24">
        <f>20884519.72</f>
        <v>20884519.719999999</v>
      </c>
      <c r="H54" s="24">
        <f>2530587.57</f>
        <v>2530587.5699999998</v>
      </c>
      <c r="I54" s="24">
        <f>0</f>
        <v>0</v>
      </c>
      <c r="J54" s="24">
        <f>164926.7</f>
        <v>164926.70000000001</v>
      </c>
      <c r="K54" s="24">
        <f>455462.37</f>
        <v>455462.37</v>
      </c>
      <c r="L54" s="24">
        <f>260632586.3</f>
        <v>260632586.30000001</v>
      </c>
      <c r="M54" s="24">
        <f>315409331.26</f>
        <v>315409331.25999999</v>
      </c>
      <c r="N54" s="24">
        <f>9890530.29</f>
        <v>9890530.2899999991</v>
      </c>
      <c r="O54" s="24">
        <f>864922.91</f>
        <v>864922.91</v>
      </c>
      <c r="P54" s="24">
        <f>40011.63</f>
        <v>40011.629999999997</v>
      </c>
      <c r="Q54" s="24">
        <f>824911.28</f>
        <v>824911.28</v>
      </c>
    </row>
    <row r="55" spans="1:17" ht="36.75" customHeight="1" x14ac:dyDescent="0.2">
      <c r="A55" s="19" t="s">
        <v>40</v>
      </c>
      <c r="B55" s="24">
        <f>213626126.41</f>
        <v>213626126.41</v>
      </c>
      <c r="C55" s="24">
        <f>213621809.41</f>
        <v>213621809.41</v>
      </c>
      <c r="D55" s="24">
        <f>43878009.84</f>
        <v>43878009.840000004</v>
      </c>
      <c r="E55" s="24">
        <f>27158903.9</f>
        <v>27158903.899999999</v>
      </c>
      <c r="F55" s="24">
        <f>2186356.8</f>
        <v>2186356.7999999998</v>
      </c>
      <c r="G55" s="24">
        <f>12217265.52</f>
        <v>12217265.52</v>
      </c>
      <c r="H55" s="24">
        <f>2315483.62</f>
        <v>2315483.62</v>
      </c>
      <c r="I55" s="24">
        <f>1580.77</f>
        <v>1580.77</v>
      </c>
      <c r="J55" s="24">
        <f>1776.21</f>
        <v>1776.21</v>
      </c>
      <c r="K55" s="24">
        <f>187079.71</f>
        <v>187079.71</v>
      </c>
      <c r="L55" s="24">
        <f>121442000.56</f>
        <v>121442000.56</v>
      </c>
      <c r="M55" s="24">
        <f>47032298.51</f>
        <v>47032298.509999998</v>
      </c>
      <c r="N55" s="24">
        <f>1079063.81</f>
        <v>1079063.81</v>
      </c>
      <c r="O55" s="24">
        <f>4317</f>
        <v>4317</v>
      </c>
      <c r="P55" s="24">
        <f>4317</f>
        <v>4317</v>
      </c>
      <c r="Q55" s="24">
        <f>0</f>
        <v>0</v>
      </c>
    </row>
    <row r="56" spans="1:17" ht="26.25" customHeight="1" x14ac:dyDescent="0.2">
      <c r="A56" s="19" t="s">
        <v>41</v>
      </c>
      <c r="B56" s="24">
        <f>2844055058.39</f>
        <v>2844055058.3899999</v>
      </c>
      <c r="C56" s="24">
        <f>2826262961.48</f>
        <v>2826262961.48</v>
      </c>
      <c r="D56" s="24">
        <f>596506233.75</f>
        <v>596506233.75</v>
      </c>
      <c r="E56" s="24">
        <f>360519084.25</f>
        <v>360519084.25</v>
      </c>
      <c r="F56" s="24">
        <f>3317852.46</f>
        <v>3317852.46</v>
      </c>
      <c r="G56" s="24">
        <f>225928768.6</f>
        <v>225928768.59999999</v>
      </c>
      <c r="H56" s="24">
        <f>6740528.44</f>
        <v>6740528.4400000004</v>
      </c>
      <c r="I56" s="24">
        <f>54984.95</f>
        <v>54984.95</v>
      </c>
      <c r="J56" s="24">
        <f>222642.8</f>
        <v>222642.8</v>
      </c>
      <c r="K56" s="24">
        <f>1711114.75</f>
        <v>1711114.75</v>
      </c>
      <c r="L56" s="24">
        <f>1252778245.41</f>
        <v>1252778245.4100001</v>
      </c>
      <c r="M56" s="24">
        <f>782308477.69</f>
        <v>782308477.69000006</v>
      </c>
      <c r="N56" s="24">
        <f>192681262.13</f>
        <v>192681262.13</v>
      </c>
      <c r="O56" s="24">
        <f>17792096.91</f>
        <v>17792096.91</v>
      </c>
      <c r="P56" s="24">
        <f>11857453.03</f>
        <v>11857453.029999999</v>
      </c>
      <c r="Q56" s="24">
        <f>5934643.88</f>
        <v>5934643.8799999999</v>
      </c>
    </row>
    <row r="66" spans="1:13" ht="75" customHeight="1" x14ac:dyDescent="0.2">
      <c r="A66" s="36" t="str">
        <f>CONCATENATE("Informacja z wykonania budżetów miast na prawach powiatu za  ",$C$93," ",$B$94," roku     ",$B$96,"")</f>
        <v xml:space="preserve">Informacja z wykonania budżetów miast na prawach powiatu za  IV Kwartały 2022 roku     </v>
      </c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</row>
    <row r="67" spans="1:13" ht="13.5" customHeight="1" x14ac:dyDescent="0.2">
      <c r="B67" s="37" t="s">
        <v>3</v>
      </c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</row>
    <row r="69" spans="1:13" ht="13.5" customHeight="1" x14ac:dyDescent="0.2">
      <c r="B69" s="65" t="s">
        <v>0</v>
      </c>
      <c r="C69" s="66"/>
      <c r="D69" s="66"/>
      <c r="E69" s="67"/>
      <c r="F69" s="40" t="s">
        <v>73</v>
      </c>
      <c r="G69" s="61" t="s">
        <v>72</v>
      </c>
      <c r="H69" s="74"/>
      <c r="I69" s="74"/>
      <c r="J69" s="74"/>
      <c r="K69" s="74"/>
      <c r="L69" s="62"/>
    </row>
    <row r="70" spans="1:13" ht="13.5" customHeight="1" x14ac:dyDescent="0.2">
      <c r="B70" s="68"/>
      <c r="C70" s="69"/>
      <c r="D70" s="69"/>
      <c r="E70" s="70"/>
      <c r="F70" s="41"/>
      <c r="G70" s="43" t="s">
        <v>74</v>
      </c>
      <c r="H70" s="32" t="s">
        <v>70</v>
      </c>
      <c r="I70" s="32" t="s">
        <v>71</v>
      </c>
      <c r="J70" s="32" t="s">
        <v>75</v>
      </c>
      <c r="K70" s="32" t="s">
        <v>76</v>
      </c>
      <c r="L70" s="80" t="s">
        <v>77</v>
      </c>
    </row>
    <row r="71" spans="1:13" ht="13.5" customHeight="1" x14ac:dyDescent="0.2">
      <c r="B71" s="68"/>
      <c r="C71" s="69"/>
      <c r="D71" s="69"/>
      <c r="E71" s="70"/>
      <c r="F71" s="41"/>
      <c r="G71" s="43"/>
      <c r="H71" s="32"/>
      <c r="I71" s="32"/>
      <c r="J71" s="32"/>
      <c r="K71" s="32"/>
      <c r="L71" s="80"/>
    </row>
    <row r="72" spans="1:13" ht="11.25" customHeight="1" x14ac:dyDescent="0.2">
      <c r="B72" s="68"/>
      <c r="C72" s="69"/>
      <c r="D72" s="69"/>
      <c r="E72" s="70"/>
      <c r="F72" s="41"/>
      <c r="G72" s="43"/>
      <c r="H72" s="32"/>
      <c r="I72" s="32"/>
      <c r="J72" s="32"/>
      <c r="K72" s="32"/>
      <c r="L72" s="80"/>
    </row>
    <row r="73" spans="1:13" ht="11.25" customHeight="1" x14ac:dyDescent="0.2">
      <c r="B73" s="71"/>
      <c r="C73" s="72"/>
      <c r="D73" s="72"/>
      <c r="E73" s="73"/>
      <c r="F73" s="42"/>
      <c r="G73" s="43"/>
      <c r="H73" s="32"/>
      <c r="I73" s="32"/>
      <c r="J73" s="32"/>
      <c r="K73" s="32"/>
      <c r="L73" s="80"/>
    </row>
    <row r="74" spans="1:13" ht="11.25" customHeight="1" x14ac:dyDescent="0.2">
      <c r="B74" s="32">
        <v>1</v>
      </c>
      <c r="C74" s="32"/>
      <c r="D74" s="32"/>
      <c r="E74" s="32"/>
      <c r="F74" s="3">
        <v>2</v>
      </c>
      <c r="G74" s="3">
        <v>3</v>
      </c>
      <c r="H74" s="3">
        <v>4</v>
      </c>
      <c r="I74" s="3">
        <v>5</v>
      </c>
      <c r="J74" s="3">
        <v>6</v>
      </c>
      <c r="K74" s="3">
        <v>7</v>
      </c>
      <c r="L74" s="13">
        <v>8</v>
      </c>
    </row>
    <row r="75" spans="1:13" ht="11.25" customHeight="1" x14ac:dyDescent="0.2">
      <c r="B75" s="76"/>
      <c r="C75" s="76"/>
      <c r="D75" s="76"/>
      <c r="E75" s="76"/>
      <c r="F75" s="32" t="s">
        <v>79</v>
      </c>
      <c r="G75" s="32"/>
      <c r="H75" s="32"/>
      <c r="I75" s="32"/>
      <c r="J75" s="32"/>
      <c r="K75" s="32"/>
      <c r="L75" s="32"/>
    </row>
    <row r="76" spans="1:13" ht="47.25" customHeight="1" x14ac:dyDescent="0.2">
      <c r="B76" s="53" t="s">
        <v>57</v>
      </c>
      <c r="C76" s="54"/>
      <c r="D76" s="54"/>
      <c r="E76" s="55"/>
      <c r="F76" s="22">
        <f>1748277550.93</f>
        <v>1748277550.9300001</v>
      </c>
      <c r="G76" s="22">
        <f>214438286.64</f>
        <v>214438286.63999999</v>
      </c>
      <c r="H76" s="22">
        <f>19147000</f>
        <v>19147000</v>
      </c>
      <c r="I76" s="22">
        <f>85746251</f>
        <v>85746251</v>
      </c>
      <c r="J76" s="22">
        <f>109545035.64</f>
        <v>109545035.64</v>
      </c>
      <c r="K76" s="22">
        <f>0</f>
        <v>0</v>
      </c>
      <c r="L76" s="22">
        <f>1533839264.29</f>
        <v>1533839264.29</v>
      </c>
    </row>
    <row r="77" spans="1:13" ht="47.25" customHeight="1" x14ac:dyDescent="0.2">
      <c r="B77" s="53" t="s">
        <v>58</v>
      </c>
      <c r="C77" s="54"/>
      <c r="D77" s="54"/>
      <c r="E77" s="55"/>
      <c r="F77" s="22">
        <f>0</f>
        <v>0</v>
      </c>
      <c r="G77" s="22">
        <f>0</f>
        <v>0</v>
      </c>
      <c r="H77" s="22">
        <f>0</f>
        <v>0</v>
      </c>
      <c r="I77" s="22">
        <f>0</f>
        <v>0</v>
      </c>
      <c r="J77" s="22">
        <f>0</f>
        <v>0</v>
      </c>
      <c r="K77" s="22">
        <f>0</f>
        <v>0</v>
      </c>
      <c r="L77" s="22">
        <f>0</f>
        <v>0</v>
      </c>
    </row>
    <row r="78" spans="1:13" ht="47.25" customHeight="1" x14ac:dyDescent="0.2">
      <c r="B78" s="53" t="s">
        <v>59</v>
      </c>
      <c r="C78" s="54"/>
      <c r="D78" s="54"/>
      <c r="E78" s="55"/>
      <c r="F78" s="22">
        <f>94316295.92</f>
        <v>94316295.920000002</v>
      </c>
      <c r="G78" s="22">
        <f>1000000</f>
        <v>1000000</v>
      </c>
      <c r="H78" s="22">
        <f>0</f>
        <v>0</v>
      </c>
      <c r="I78" s="22">
        <f>0</f>
        <v>0</v>
      </c>
      <c r="J78" s="22">
        <f>1000000</f>
        <v>1000000</v>
      </c>
      <c r="K78" s="22">
        <f>0</f>
        <v>0</v>
      </c>
      <c r="L78" s="22">
        <f>93316295.92</f>
        <v>93316295.920000002</v>
      </c>
    </row>
    <row r="79" spans="1:13" ht="47.25" customHeight="1" x14ac:dyDescent="0.2">
      <c r="B79" s="53" t="s">
        <v>60</v>
      </c>
      <c r="C79" s="54"/>
      <c r="D79" s="54"/>
      <c r="E79" s="55"/>
      <c r="F79" s="22">
        <f>16500011.54</f>
        <v>16500011.539999999</v>
      </c>
      <c r="G79" s="22">
        <f>0</f>
        <v>0</v>
      </c>
      <c r="H79" s="22">
        <f>0</f>
        <v>0</v>
      </c>
      <c r="I79" s="22">
        <f>0</f>
        <v>0</v>
      </c>
      <c r="J79" s="22">
        <f>0</f>
        <v>0</v>
      </c>
      <c r="K79" s="22">
        <f>0</f>
        <v>0</v>
      </c>
      <c r="L79" s="22">
        <f>16500011.54</f>
        <v>16500011.539999999</v>
      </c>
    </row>
    <row r="80" spans="1:13" ht="47.25" customHeight="1" x14ac:dyDescent="0.2">
      <c r="B80" s="53" t="s">
        <v>61</v>
      </c>
      <c r="C80" s="54"/>
      <c r="D80" s="54"/>
      <c r="E80" s="55"/>
      <c r="F80" s="22">
        <f>5066465.91</f>
        <v>5066465.91</v>
      </c>
      <c r="G80" s="22">
        <f>0</f>
        <v>0</v>
      </c>
      <c r="H80" s="22">
        <f>0</f>
        <v>0</v>
      </c>
      <c r="I80" s="22">
        <f>0</f>
        <v>0</v>
      </c>
      <c r="J80" s="22">
        <f>0</f>
        <v>0</v>
      </c>
      <c r="K80" s="22">
        <f>0</f>
        <v>0</v>
      </c>
      <c r="L80" s="22">
        <f>5066465.91</f>
        <v>5066465.91</v>
      </c>
    </row>
    <row r="81" spans="1:13" ht="47.25" customHeight="1" x14ac:dyDescent="0.2">
      <c r="B81" s="53" t="s">
        <v>62</v>
      </c>
      <c r="C81" s="54"/>
      <c r="D81" s="54"/>
      <c r="E81" s="55"/>
      <c r="F81" s="22">
        <f>17578304.92</f>
        <v>17578304.920000002</v>
      </c>
      <c r="G81" s="22">
        <f>1827496.55</f>
        <v>1827496.55</v>
      </c>
      <c r="H81" s="22">
        <f>0</f>
        <v>0</v>
      </c>
      <c r="I81" s="22">
        <f>0</f>
        <v>0</v>
      </c>
      <c r="J81" s="22">
        <f>1827496.55</f>
        <v>1827496.55</v>
      </c>
      <c r="K81" s="22">
        <f>0</f>
        <v>0</v>
      </c>
      <c r="L81" s="22">
        <f>15750808.37</f>
        <v>15750808.369999999</v>
      </c>
    </row>
    <row r="82" spans="1:13" ht="47.25" customHeight="1" x14ac:dyDescent="0.2">
      <c r="B82" s="53" t="s">
        <v>63</v>
      </c>
      <c r="C82" s="54"/>
      <c r="D82" s="54"/>
      <c r="E82" s="55"/>
      <c r="F82" s="22">
        <f>0</f>
        <v>0</v>
      </c>
      <c r="G82" s="22">
        <f>0</f>
        <v>0</v>
      </c>
      <c r="H82" s="22">
        <f>0</f>
        <v>0</v>
      </c>
      <c r="I82" s="22">
        <f>0</f>
        <v>0</v>
      </c>
      <c r="J82" s="22">
        <f>0</f>
        <v>0</v>
      </c>
      <c r="K82" s="22">
        <f>0</f>
        <v>0</v>
      </c>
      <c r="L82" s="22">
        <f>0</f>
        <v>0</v>
      </c>
    </row>
    <row r="85" spans="1:13" ht="75" customHeight="1" x14ac:dyDescent="0.2">
      <c r="A85" s="36" t="str">
        <f>CONCATENATE("Informacja z wykonania budżetów miast na prawach powiatu za  ",$C$93," ",$B$94," roku     ",$B$96,"")</f>
        <v xml:space="preserve">Informacja z wykonania budżetów miast na prawach powiatu za  IV Kwartały 2022 roku     </v>
      </c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</row>
    <row r="86" spans="1:13" ht="13.5" customHeight="1" x14ac:dyDescent="0.2">
      <c r="B86" s="4"/>
    </row>
    <row r="87" spans="1:13" ht="13.5" customHeight="1" x14ac:dyDescent="0.2">
      <c r="B87" s="5"/>
      <c r="C87" s="61"/>
      <c r="D87" s="74"/>
      <c r="E87" s="74"/>
      <c r="F87" s="62"/>
      <c r="G87" s="61" t="s">
        <v>4</v>
      </c>
      <c r="H87" s="62"/>
      <c r="I87" s="61" t="s">
        <v>5</v>
      </c>
      <c r="J87" s="62"/>
      <c r="K87" s="5"/>
    </row>
    <row r="88" spans="1:13" ht="13.5" customHeight="1" x14ac:dyDescent="0.2">
      <c r="B88" s="6"/>
      <c r="C88" s="53" t="s">
        <v>6</v>
      </c>
      <c r="D88" s="54"/>
      <c r="E88" s="54"/>
      <c r="F88" s="55"/>
      <c r="G88" s="59">
        <f>9</f>
        <v>9</v>
      </c>
      <c r="H88" s="60"/>
      <c r="I88" s="46">
        <f>729393677.16</f>
        <v>729393677.15999997</v>
      </c>
      <c r="J88" s="47"/>
      <c r="K88" s="7"/>
    </row>
    <row r="89" spans="1:13" ht="13.5" customHeight="1" x14ac:dyDescent="0.2">
      <c r="B89" s="6"/>
      <c r="C89" s="56" t="s">
        <v>7</v>
      </c>
      <c r="D89" s="57"/>
      <c r="E89" s="57"/>
      <c r="F89" s="58"/>
      <c r="G89" s="63">
        <f>57</f>
        <v>57</v>
      </c>
      <c r="H89" s="64"/>
      <c r="I89" s="48">
        <f>-5101180582.37</f>
        <v>-5101180582.3699999</v>
      </c>
      <c r="J89" s="49"/>
      <c r="K89" s="7"/>
    </row>
    <row r="90" spans="1:13" ht="13.5" customHeight="1" x14ac:dyDescent="0.2">
      <c r="B90" s="6"/>
      <c r="C90" s="53" t="s">
        <v>8</v>
      </c>
      <c r="D90" s="54"/>
      <c r="E90" s="54"/>
      <c r="F90" s="55"/>
      <c r="G90" s="59">
        <f>0</f>
        <v>0</v>
      </c>
      <c r="H90" s="60"/>
      <c r="I90" s="46">
        <f>0</f>
        <v>0</v>
      </c>
      <c r="J90" s="47"/>
      <c r="K90" s="7"/>
    </row>
    <row r="93" spans="1:13" ht="13.5" customHeight="1" x14ac:dyDescent="0.2">
      <c r="A93" s="8" t="s">
        <v>9</v>
      </c>
      <c r="B93" s="8">
        <f>4</f>
        <v>4</v>
      </c>
      <c r="C93" s="8" t="str">
        <f>IF(B93=1,"I Kwartał",IF(B93=2,"II Kwartały",IF(B93=3,"III Kwartały",IF(B93=4,"IV Kwartały","-"))))</f>
        <v>IV Kwartały</v>
      </c>
    </row>
    <row r="94" spans="1:13" ht="13.5" customHeight="1" x14ac:dyDescent="0.2">
      <c r="A94" s="8" t="s">
        <v>10</v>
      </c>
      <c r="B94" s="8">
        <f>2022</f>
        <v>2022</v>
      </c>
      <c r="C94" s="9"/>
    </row>
    <row r="95" spans="1:13" ht="13.5" customHeight="1" x14ac:dyDescent="0.2">
      <c r="A95" s="8" t="s">
        <v>11</v>
      </c>
      <c r="B95" s="10" t="str">
        <f>"Mar 23 2023 12:00AM"</f>
        <v>Mar 23 2023 12:00AM</v>
      </c>
      <c r="C95" s="9"/>
    </row>
    <row r="96" spans="1:13" ht="13.5" customHeight="1" x14ac:dyDescent="0.2">
      <c r="A96" s="15" t="s">
        <v>78</v>
      </c>
      <c r="B96" s="10" t="str">
        <f>""</f>
        <v/>
      </c>
    </row>
  </sheetData>
  <mergeCells count="79">
    <mergeCell ref="O6:Q6"/>
    <mergeCell ref="O7:O10"/>
    <mergeCell ref="A66:M66"/>
    <mergeCell ref="L35:L37"/>
    <mergeCell ref="P35:P37"/>
    <mergeCell ref="B75:E75"/>
    <mergeCell ref="F75:L75"/>
    <mergeCell ref="B12:Q12"/>
    <mergeCell ref="B39:Q39"/>
    <mergeCell ref="L70:L73"/>
    <mergeCell ref="G90:H90"/>
    <mergeCell ref="I88:J88"/>
    <mergeCell ref="B67:M67"/>
    <mergeCell ref="I87:J87"/>
    <mergeCell ref="B74:E74"/>
    <mergeCell ref="B69:E73"/>
    <mergeCell ref="B82:E82"/>
    <mergeCell ref="A85:M85"/>
    <mergeCell ref="B78:E78"/>
    <mergeCell ref="B79:E79"/>
    <mergeCell ref="C87:F87"/>
    <mergeCell ref="B81:E81"/>
    <mergeCell ref="G69:L69"/>
    <mergeCell ref="H70:H73"/>
    <mergeCell ref="I70:I73"/>
    <mergeCell ref="J70:J73"/>
    <mergeCell ref="I90:J90"/>
    <mergeCell ref="I89:J89"/>
    <mergeCell ref="A6:A10"/>
    <mergeCell ref="C6:N6"/>
    <mergeCell ref="D7:D10"/>
    <mergeCell ref="E7:E10"/>
    <mergeCell ref="B80:E80"/>
    <mergeCell ref="B77:E77"/>
    <mergeCell ref="M35:M37"/>
    <mergeCell ref="B76:E76"/>
    <mergeCell ref="C88:F88"/>
    <mergeCell ref="C89:F89"/>
    <mergeCell ref="C90:F90"/>
    <mergeCell ref="G88:H88"/>
    <mergeCell ref="G87:H87"/>
    <mergeCell ref="G89:H89"/>
    <mergeCell ref="A1:M1"/>
    <mergeCell ref="C5:M5"/>
    <mergeCell ref="A3:M3"/>
    <mergeCell ref="K7:K10"/>
    <mergeCell ref="C7:C10"/>
    <mergeCell ref="B6:B10"/>
    <mergeCell ref="G7:G10"/>
    <mergeCell ref="F7:F10"/>
    <mergeCell ref="I7:I10"/>
    <mergeCell ref="J7:J10"/>
    <mergeCell ref="H7:H10"/>
    <mergeCell ref="Q7:Q10"/>
    <mergeCell ref="C34:N34"/>
    <mergeCell ref="L7:L10"/>
    <mergeCell ref="M7:M10"/>
    <mergeCell ref="N7:N10"/>
    <mergeCell ref="P7:P10"/>
    <mergeCell ref="A30:M30"/>
    <mergeCell ref="O34:Q34"/>
    <mergeCell ref="A32:M32"/>
    <mergeCell ref="B34:B37"/>
    <mergeCell ref="Q35:Q37"/>
    <mergeCell ref="N35:N37"/>
    <mergeCell ref="O35:O37"/>
    <mergeCell ref="D35:D37"/>
    <mergeCell ref="A34:A37"/>
    <mergeCell ref="C35:C37"/>
    <mergeCell ref="E35:E37"/>
    <mergeCell ref="K70:K73"/>
    <mergeCell ref="F35:F37"/>
    <mergeCell ref="G35:G37"/>
    <mergeCell ref="H35:H37"/>
    <mergeCell ref="K35:K37"/>
    <mergeCell ref="I35:I37"/>
    <mergeCell ref="J35:J37"/>
    <mergeCell ref="F69:F73"/>
    <mergeCell ref="G70:G73"/>
  </mergeCells>
  <phoneticPr fontId="4" type="noConversion"/>
  <pageMargins left="0.19685039370078741" right="0.19685039370078741" top="0.19685039370078741" bottom="0.19685039370078741" header="0" footer="0"/>
  <pageSetup paperSize="9" scale="69" orientation="landscape" useFirstPageNumber="1" horizontalDpi="300" verticalDpi="300" r:id="rId1"/>
  <headerFooter alignWithMargins="0">
    <oddFooter>&amp;L&amp;D&amp;Rstrona &amp;P z 3</oddFooter>
  </headerFooter>
  <rowBreaks count="2" manualBreakCount="2">
    <brk id="29" max="16383" man="1"/>
    <brk id="6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zob_nal</vt:lpstr>
    </vt:vector>
  </TitlesOfParts>
  <Company>Min. Fin.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2016-08-26T11:41:03Z</cp:lastPrinted>
  <dcterms:created xsi:type="dcterms:W3CDTF">2001-05-17T08:58:03Z</dcterms:created>
  <dcterms:modified xsi:type="dcterms:W3CDTF">2023-03-29T10:39:35Z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2023-03-29T12:39:33.0916030+02:00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GRN-101efefd-df54-4506-992b-bf813edaecd7</vt:lpwstr>
  </property>
  <property fmtid="{D5CDD505-2E9C-101B-9397-08002B2CF9AE}" pid="7" name="MFHash">
    <vt:lpwstr>Z8D99qOJgw0Jzp9X6ldHU+6VQwMIxvcCWgZLw2RRE3I=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