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4\III kwartał\2024.11.14 dane ostateczne\Zbiorówki_2024_k3_20241114\Publikacja\"/>
    </mc:Choice>
  </mc:AlternateContent>
  <xr:revisionPtr revIDLastSave="0" documentId="13_ncr:1_{B2579EFF-5F6D-49D2-B9A7-A775970D0D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7" i="7" l="1"/>
  <c r="B106" i="7"/>
  <c r="B105" i="7"/>
  <c r="B104" i="7"/>
  <c r="I101" i="7"/>
  <c r="G101" i="7"/>
  <c r="I100" i="7"/>
  <c r="G100" i="7"/>
  <c r="I99" i="7"/>
  <c r="G99" i="7"/>
  <c r="L93" i="7"/>
  <c r="K93" i="7"/>
  <c r="J93" i="7"/>
  <c r="I93" i="7"/>
  <c r="H93" i="7"/>
  <c r="G93" i="7"/>
  <c r="F93" i="7"/>
  <c r="L92" i="7"/>
  <c r="K92" i="7"/>
  <c r="J92" i="7"/>
  <c r="I92" i="7"/>
  <c r="H92" i="7"/>
  <c r="G92" i="7"/>
  <c r="F92" i="7"/>
  <c r="L91" i="7"/>
  <c r="K91" i="7"/>
  <c r="J91" i="7"/>
  <c r="I91" i="7"/>
  <c r="H91" i="7"/>
  <c r="G91" i="7"/>
  <c r="F91" i="7"/>
  <c r="L90" i="7"/>
  <c r="K90" i="7"/>
  <c r="J90" i="7"/>
  <c r="I90" i="7"/>
  <c r="H90" i="7"/>
  <c r="G90" i="7"/>
  <c r="F90" i="7"/>
  <c r="L89" i="7"/>
  <c r="K89" i="7"/>
  <c r="J89" i="7"/>
  <c r="I89" i="7"/>
  <c r="H89" i="7"/>
  <c r="G89" i="7"/>
  <c r="F89" i="7"/>
  <c r="L88" i="7"/>
  <c r="K88" i="7"/>
  <c r="J88" i="7"/>
  <c r="I88" i="7"/>
  <c r="H88" i="7"/>
  <c r="G88" i="7"/>
  <c r="F88" i="7"/>
  <c r="L87" i="7"/>
  <c r="K87" i="7"/>
  <c r="J87" i="7"/>
  <c r="I87" i="7"/>
  <c r="H87" i="7"/>
  <c r="G87" i="7"/>
  <c r="F87" i="7"/>
  <c r="Q60" i="7"/>
  <c r="P60" i="7"/>
  <c r="O60" i="7"/>
  <c r="N60" i="7"/>
  <c r="M60" i="7"/>
  <c r="L60" i="7"/>
  <c r="K60" i="7"/>
  <c r="J60" i="7"/>
  <c r="I60" i="7"/>
  <c r="H60" i="7"/>
  <c r="G60" i="7"/>
  <c r="F60" i="7"/>
  <c r="E60" i="7"/>
  <c r="D60" i="7"/>
  <c r="C60" i="7"/>
  <c r="B60" i="7"/>
  <c r="Q59" i="7"/>
  <c r="P59" i="7"/>
  <c r="O59" i="7"/>
  <c r="N59" i="7"/>
  <c r="M59" i="7"/>
  <c r="L59" i="7"/>
  <c r="K59" i="7"/>
  <c r="J59" i="7"/>
  <c r="I59" i="7"/>
  <c r="H59" i="7"/>
  <c r="G59" i="7"/>
  <c r="F59" i="7"/>
  <c r="E59" i="7"/>
  <c r="D59" i="7"/>
  <c r="C59" i="7"/>
  <c r="B59" i="7"/>
  <c r="Q58" i="7"/>
  <c r="P58" i="7"/>
  <c r="O58" i="7"/>
  <c r="N58" i="7"/>
  <c r="M58" i="7"/>
  <c r="L58" i="7"/>
  <c r="K58" i="7"/>
  <c r="J58" i="7"/>
  <c r="I58" i="7"/>
  <c r="H58" i="7"/>
  <c r="G58" i="7"/>
  <c r="F58" i="7"/>
  <c r="E58" i="7"/>
  <c r="D58" i="7"/>
  <c r="C58" i="7"/>
  <c r="B58" i="7"/>
  <c r="Q57" i="7"/>
  <c r="P57" i="7"/>
  <c r="O57" i="7"/>
  <c r="N57" i="7"/>
  <c r="M57" i="7"/>
  <c r="L57" i="7"/>
  <c r="K57" i="7"/>
  <c r="J57" i="7"/>
  <c r="I57" i="7"/>
  <c r="H57" i="7"/>
  <c r="G57" i="7"/>
  <c r="F57" i="7"/>
  <c r="E57" i="7"/>
  <c r="D57" i="7"/>
  <c r="C57" i="7"/>
  <c r="B5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104" i="7" l="1"/>
  <c r="A1" i="7" l="1"/>
  <c r="A77" i="7"/>
  <c r="A34" i="7"/>
  <c r="A96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<sst xmlns="http://schemas.openxmlformats.org/spreadsheetml/2006/main" count="97" uniqueCount="81">
  <si>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</si>
  <si>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</si>
  <si>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</si>
  <si>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</si>
  <si>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</si>
  <si>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</si>
  <si>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</si>
  <si>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</si>
  <si>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</si>
  <si>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</si>
  <si>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</si>
  <si>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</si>
  <si>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</si>
  <si>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</si>
  <si>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</si>
  <si>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</si>
  <si>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</si>
  <si>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</si>
  <si>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</si>
  <si>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</si>
  <si>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</si>
  <si>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</si>
  <si>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</si>
  <si>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</si>
  <si>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</si>
  <si>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</si>
  <si>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</si>
  <si>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</si>
  <si>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</si>
  <si>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</si>
  <si>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</si>
  <si>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</si>
  <si>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</si>
  <si>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</si>
  <si>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</si>
  <si>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</si>
  <si>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</si>
  <si>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</si>
  <si>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</si>
  <si>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N5.2 z tytułu podatków i składek na 
ubezpieczenia społ.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</si>
  <si>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</si>
  <si>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</si>
  <si>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</si>
  <si>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</si>
  <si>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</si>
  <si>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</si>
  <si>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</si>
  <si>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</si>
  <si>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</si>
  <si>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</si>
  <si>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</si>
  <si>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</si>
  <si>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</si>
  <si>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</si>
  <si>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  wymagalne zobowiązania 
     (E4.1+E4.2)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</si>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</sst>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5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sz val="9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9"/>
      <name val="Arial"/>
      <family val="2"/>
      <charset val="238"/>
    </font>
    <font>
      <b/>
      <sz val="9"/>
      <name val="Arial CE"/>
      <charset val="238"/>
    </font>
    <font>
      <sz val="9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101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4" fontId="7" fillId="20" borderId="10" xfId="37" applyNumberFormat="1" applyFont="1" applyFill="1" applyBorder="1" applyAlignment="1">
      <alignment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8" fillId="0" borderId="17" xfId="0" applyFont="1" applyFill="1" applyBorder="1" applyAlignment="1">
      <alignment horizontal="left" vertical="center" wrapText="1" indent="1"/>
    </xf>
    <xf numFmtId="0" fontId="28" fillId="0" borderId="18" xfId="0" applyFont="1" applyFill="1" applyBorder="1" applyAlignment="1">
      <alignment horizontal="left" vertical="center" wrapText="1" indent="1"/>
    </xf>
    <xf numFmtId="0" fontId="28" fillId="0" borderId="17" xfId="0" applyFont="1" applyFill="1" applyBorder="1" applyAlignment="1">
      <alignment horizontal="left" vertical="center" indent="1"/>
    </xf>
    <xf numFmtId="0" fontId="33" fillId="0" borderId="17" xfId="0" applyFont="1" applyFill="1" applyBorder="1" applyAlignment="1">
      <alignment vertical="center" wrapText="1"/>
    </xf>
    <xf numFmtId="0" fontId="33" fillId="0" borderId="17" xfId="0" applyFont="1" applyFill="1" applyBorder="1" applyAlignment="1">
      <alignment vertical="center"/>
    </xf>
    <xf numFmtId="0" fontId="32" fillId="0" borderId="17" xfId="0" applyFont="1" applyFill="1" applyBorder="1" applyAlignment="1">
      <alignment vertical="center"/>
    </xf>
    <xf numFmtId="0" fontId="28" fillId="0" borderId="10" xfId="0" applyFont="1" applyFill="1" applyBorder="1" applyAlignment="1">
      <alignment horizontal="left" vertical="center" indent="1"/>
    </xf>
    <xf numFmtId="4" fontId="7" fillId="0" borderId="10" xfId="37" applyNumberFormat="1" applyFont="1" applyFill="1" applyBorder="1" applyAlignment="1">
      <alignment vertical="center" wrapText="1"/>
    </xf>
    <xf numFmtId="0" fontId="31" fillId="21" borderId="10" xfId="37" applyFont="1" applyFill="1" applyBorder="1" applyAlignment="1">
      <alignment horizontal="left" vertical="center" wrapText="1"/>
    </xf>
    <xf numFmtId="4" fontId="7" fillId="21" borderId="10" xfId="37" applyNumberFormat="1" applyFont="1" applyFill="1" applyBorder="1" applyAlignment="1">
      <alignment horizontal="right" vertical="center" wrapText="1"/>
    </xf>
    <xf numFmtId="0" fontId="31" fillId="21" borderId="17" xfId="0" applyFont="1" applyFill="1" applyBorder="1" applyAlignment="1">
      <alignment wrapText="1"/>
    </xf>
    <xf numFmtId="0" fontId="31" fillId="21" borderId="18" xfId="0" applyFont="1" applyFill="1" applyBorder="1" applyAlignment="1">
      <alignment wrapText="1"/>
    </xf>
    <xf numFmtId="0" fontId="31" fillId="21" borderId="18" xfId="0" applyFont="1" applyFill="1" applyBorder="1" applyAlignment="1">
      <alignment vertical="center"/>
    </xf>
    <xf numFmtId="0" fontId="31" fillId="21" borderId="17" xfId="0" applyFont="1" applyFill="1" applyBorder="1" applyAlignment="1">
      <alignment horizontal="left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32" fillId="21" borderId="17" xfId="0" applyFont="1" applyFill="1" applyBorder="1" applyAlignment="1">
      <alignment vertical="center" wrapText="1"/>
    </xf>
    <xf numFmtId="4" fontId="7" fillId="21" borderId="10" xfId="37" applyNumberFormat="1" applyFont="1" applyFill="1" applyBorder="1" applyAlignment="1">
      <alignment vertical="center" wrapText="1"/>
    </xf>
    <xf numFmtId="4" fontId="2" fillId="19" borderId="15" xfId="37" applyNumberFormat="1" applyFont="1" applyFill="1" applyBorder="1" applyAlignment="1">
      <alignment horizontal="center" vertical="center" wrapText="1"/>
    </xf>
    <xf numFmtId="4" fontId="2" fillId="19" borderId="14" xfId="37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21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2" fillId="19" borderId="21" xfId="37" applyFont="1" applyFill="1" applyBorder="1" applyAlignment="1">
      <alignment horizontal="center" vertical="center" wrapText="1"/>
    </xf>
    <xf numFmtId="0" fontId="2" fillId="19" borderId="12" xfId="37" applyFont="1" applyFill="1" applyBorder="1" applyAlignment="1">
      <alignment horizontal="center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34" fillId="0" borderId="0" xfId="37" applyFont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2" fillId="19" borderId="20" xfId="37" applyFont="1" applyFill="1" applyBorder="1" applyAlignment="1">
      <alignment horizontal="center" vertical="center" wrapText="1"/>
    </xf>
    <xf numFmtId="0" fontId="8" fillId="19" borderId="20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2" xfId="37" applyFont="1" applyFill="1" applyBorder="1" applyAlignment="1">
      <alignment horizontal="center" vertical="center" wrapText="1"/>
    </xf>
    <xf numFmtId="0" fontId="2" fillId="19" borderId="22" xfId="37" applyFont="1" applyFill="1" applyBorder="1" applyAlignment="1">
      <alignment horizontal="center" vertical="center" wrapText="1"/>
    </xf>
    <xf numFmtId="0" fontId="2" fillId="19" borderId="13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3" fontId="7" fillId="0" borderId="15" xfId="37" applyNumberFormat="1" applyFont="1" applyFill="1" applyBorder="1" applyAlignment="1">
      <alignment horizontal="right" vertical="center" wrapText="1"/>
    </xf>
    <xf numFmtId="3" fontId="7" fillId="0" borderId="11" xfId="37" applyNumberFormat="1" applyFont="1" applyFill="1" applyBorder="1" applyAlignment="1">
      <alignment horizontal="right" vertical="center" wrapText="1"/>
    </xf>
    <xf numFmtId="4" fontId="7" fillId="0" borderId="15" xfId="37" applyNumberFormat="1" applyFont="1" applyFill="1" applyBorder="1" applyAlignment="1">
      <alignment horizontal="right" vertical="center" wrapText="1"/>
    </xf>
    <xf numFmtId="4" fontId="7" fillId="0" borderId="11" xfId="37" applyNumberFormat="1" applyFont="1" applyFill="1" applyBorder="1" applyAlignment="1">
      <alignment horizontal="right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19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6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" fillId="19" borderId="10" xfId="37" applyNumberFormat="1" applyFont="1" applyFill="1" applyBorder="1" applyAlignment="1">
      <alignment horizontal="center" vertical="center" wrapText="1"/>
    </xf>
    <xf numFmtId="0" fontId="5" fillId="19" borderId="23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21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107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4.7109375" style="2" customWidth="1"/>
    <col min="4" max="4" width="13.28515625" style="2" customWidth="1"/>
    <col min="5" max="5" width="12.28515625" style="2" customWidth="1"/>
    <col min="6" max="6" width="11.85546875" style="2" customWidth="1"/>
    <col min="7" max="7" width="11" style="2" customWidth="1"/>
    <col min="8" max="8" width="11.140625" style="2" customWidth="1"/>
    <col min="9" max="9" width="12.28515625" style="2" customWidth="1"/>
    <col min="10" max="10" width="13.5703125" style="2" customWidth="1"/>
    <col min="11" max="11" width="12.140625" style="2" customWidth="1"/>
    <col min="12" max="12" width="13.28515625" style="2" customWidth="1"/>
    <col min="13" max="13" width="11.140625" style="2" bestFit="1" customWidth="1"/>
    <col min="14" max="14" width="11.28515625" style="2" bestFit="1" customWidth="1"/>
    <col min="15" max="15" width="9.28515625" style="2" bestFit="1" customWidth="1"/>
    <col min="16" max="16" width="7.5703125" style="2" bestFit="1" customWidth="1"/>
    <col min="17" max="17" width="9.85546875" style="2" bestFit="1" customWidth="1"/>
    <col min="18" max="16384" width="9.140625" style="2"/>
  </cols>
  <sheetData>
    <row r="1" spans="1:17" ht="75" customHeight="1" x14ac:dyDescent="0.2">
      <c r="A1" s="51" t="str">
        <f>CONCATENATE("Informacja z wykonania budżetów gmin za ",$C$104," ",$B$105," roku   ",$B$107,"")</f>
        <v xml:space="preserve">Informacja z wykonania budżetów gmin za III Kwartały 2024 roku   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55" t="s">
        <v>64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5" spans="1:17" ht="13.5" customHeight="1" x14ac:dyDescent="0.2">
      <c r="B5" s="12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11"/>
      <c r="O5" s="11"/>
      <c r="P5" s="11"/>
      <c r="Q5" s="11"/>
    </row>
    <row r="6" spans="1:17" ht="13.5" customHeight="1" x14ac:dyDescent="0.2">
      <c r="A6" s="57" t="s">
        <v>0</v>
      </c>
      <c r="B6" s="56" t="s">
        <v>65</v>
      </c>
      <c r="C6" s="48" t="s">
        <v>69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50"/>
      <c r="O6" s="95" t="s">
        <v>68</v>
      </c>
      <c r="P6" s="96"/>
      <c r="Q6" s="97"/>
    </row>
    <row r="7" spans="1:17" ht="13.5" customHeight="1" x14ac:dyDescent="0.2">
      <c r="A7" s="58"/>
      <c r="B7" s="43"/>
      <c r="C7" s="44" t="s">
        <v>66</v>
      </c>
      <c r="D7" s="44" t="s">
        <v>77</v>
      </c>
      <c r="E7" s="44" t="s">
        <v>70</v>
      </c>
      <c r="F7" s="44" t="s">
        <v>71</v>
      </c>
      <c r="G7" s="44" t="s">
        <v>27</v>
      </c>
      <c r="H7" s="44" t="s">
        <v>28</v>
      </c>
      <c r="I7" s="60" t="s">
        <v>67</v>
      </c>
      <c r="J7" s="44" t="s">
        <v>16</v>
      </c>
      <c r="K7" s="44" t="s">
        <v>17</v>
      </c>
      <c r="L7" s="44" t="s">
        <v>18</v>
      </c>
      <c r="M7" s="44" t="s">
        <v>19</v>
      </c>
      <c r="N7" s="43" t="s">
        <v>20</v>
      </c>
      <c r="O7" s="47" t="s">
        <v>21</v>
      </c>
      <c r="P7" s="47" t="s">
        <v>22</v>
      </c>
      <c r="Q7" s="47" t="s">
        <v>23</v>
      </c>
    </row>
    <row r="8" spans="1:17" ht="13.5" customHeight="1" x14ac:dyDescent="0.2">
      <c r="A8" s="58"/>
      <c r="B8" s="43"/>
      <c r="C8" s="45"/>
      <c r="D8" s="45"/>
      <c r="E8" s="45"/>
      <c r="F8" s="45"/>
      <c r="G8" s="45"/>
      <c r="H8" s="45"/>
      <c r="I8" s="60"/>
      <c r="J8" s="45"/>
      <c r="K8" s="45"/>
      <c r="L8" s="45"/>
      <c r="M8" s="45"/>
      <c r="N8" s="43"/>
      <c r="O8" s="47"/>
      <c r="P8" s="47"/>
      <c r="Q8" s="47"/>
    </row>
    <row r="9" spans="1:17" ht="11.25" customHeight="1" x14ac:dyDescent="0.2">
      <c r="A9" s="58"/>
      <c r="B9" s="43"/>
      <c r="C9" s="45"/>
      <c r="D9" s="45"/>
      <c r="E9" s="45"/>
      <c r="F9" s="45"/>
      <c r="G9" s="45"/>
      <c r="H9" s="45"/>
      <c r="I9" s="60"/>
      <c r="J9" s="45"/>
      <c r="K9" s="45"/>
      <c r="L9" s="45"/>
      <c r="M9" s="45"/>
      <c r="N9" s="43"/>
      <c r="O9" s="47"/>
      <c r="P9" s="47"/>
      <c r="Q9" s="47"/>
    </row>
    <row r="10" spans="1:17" ht="16.5" customHeight="1" x14ac:dyDescent="0.2">
      <c r="A10" s="59"/>
      <c r="B10" s="44"/>
      <c r="C10" s="45"/>
      <c r="D10" s="45"/>
      <c r="E10" s="45"/>
      <c r="F10" s="45"/>
      <c r="G10" s="45"/>
      <c r="H10" s="45"/>
      <c r="I10" s="61"/>
      <c r="J10" s="45"/>
      <c r="K10" s="45"/>
      <c r="L10" s="45"/>
      <c r="M10" s="45"/>
      <c r="N10" s="44"/>
      <c r="O10" s="47"/>
      <c r="P10" s="47"/>
      <c r="Q10" s="47"/>
    </row>
    <row r="11" spans="1:17" ht="16.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4"/>
      <c r="B12" s="36" t="s">
        <v>80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8"/>
      <c r="P12" s="38"/>
      <c r="Q12" s="39"/>
    </row>
    <row r="13" spans="1:17" ht="48" x14ac:dyDescent="0.2">
      <c r="A13" s="27" t="s">
        <v>46</v>
      </c>
      <c r="B13" s="28">
        <f>38688926017.88</f>
        <v>38688926017.879997</v>
      </c>
      <c r="C13" s="28">
        <f>38688924998.57</f>
        <v>38688924998.57</v>
      </c>
      <c r="D13" s="28">
        <f>2523575030.52</f>
        <v>2523575030.52</v>
      </c>
      <c r="E13" s="28">
        <f>289746720.13</f>
        <v>289746720.13</v>
      </c>
      <c r="F13" s="28">
        <f>476777293.45</f>
        <v>476777293.44999999</v>
      </c>
      <c r="G13" s="28">
        <f>1755258080.41</f>
        <v>1755258080.4100001</v>
      </c>
      <c r="H13" s="28">
        <f>1792936.53</f>
        <v>1792936.53</v>
      </c>
      <c r="I13" s="28">
        <f>0</f>
        <v>0</v>
      </c>
      <c r="J13" s="28">
        <f>34086979410.6</f>
        <v>34086979410.599998</v>
      </c>
      <c r="K13" s="28">
        <f>1839459768.18</f>
        <v>1839459768.1800001</v>
      </c>
      <c r="L13" s="28">
        <f>205455531.35</f>
        <v>205455531.34999999</v>
      </c>
      <c r="M13" s="28">
        <f>15933859.38</f>
        <v>15933859.380000001</v>
      </c>
      <c r="N13" s="28">
        <f>17521398.54</f>
        <v>17521398.539999999</v>
      </c>
      <c r="O13" s="28">
        <f>1019.31</f>
        <v>1019.31</v>
      </c>
      <c r="P13" s="28">
        <f>0</f>
        <v>0</v>
      </c>
      <c r="Q13" s="28">
        <f>1019.31</f>
        <v>1019.31</v>
      </c>
    </row>
    <row r="14" spans="1:17" ht="26.25" customHeight="1" x14ac:dyDescent="0.2">
      <c r="A14" s="29" t="s">
        <v>47</v>
      </c>
      <c r="B14" s="28">
        <f>941464000</f>
        <v>941464000</v>
      </c>
      <c r="C14" s="28">
        <f>941464000</f>
        <v>941464000</v>
      </c>
      <c r="D14" s="28">
        <f>0</f>
        <v>0</v>
      </c>
      <c r="E14" s="28">
        <f>0</f>
        <v>0</v>
      </c>
      <c r="F14" s="28">
        <f>0</f>
        <v>0</v>
      </c>
      <c r="G14" s="28">
        <f>0</f>
        <v>0</v>
      </c>
      <c r="H14" s="28">
        <f>0</f>
        <v>0</v>
      </c>
      <c r="I14" s="28">
        <f>0</f>
        <v>0</v>
      </c>
      <c r="J14" s="28">
        <f>910914000</f>
        <v>910914000</v>
      </c>
      <c r="K14" s="28">
        <f>30550000</f>
        <v>30550000</v>
      </c>
      <c r="L14" s="28">
        <f>0</f>
        <v>0</v>
      </c>
      <c r="M14" s="28">
        <f>0</f>
        <v>0</v>
      </c>
      <c r="N14" s="28">
        <f>0</f>
        <v>0</v>
      </c>
      <c r="O14" s="28">
        <f>0</f>
        <v>0</v>
      </c>
      <c r="P14" s="28">
        <f>0</f>
        <v>0</v>
      </c>
      <c r="Q14" s="28">
        <f>0</f>
        <v>0</v>
      </c>
    </row>
    <row r="15" spans="1:17" ht="27" customHeight="1" x14ac:dyDescent="0.2">
      <c r="A15" s="19" t="s">
        <v>48</v>
      </c>
      <c r="B15" s="33">
        <f>0</f>
        <v>0</v>
      </c>
      <c r="C15" s="33">
        <f>0</f>
        <v>0</v>
      </c>
      <c r="D15" s="33">
        <f>0</f>
        <v>0</v>
      </c>
      <c r="E15" s="33">
        <f>0</f>
        <v>0</v>
      </c>
      <c r="F15" s="33">
        <f>0</f>
        <v>0</v>
      </c>
      <c r="G15" s="33">
        <f>0</f>
        <v>0</v>
      </c>
      <c r="H15" s="33">
        <f>0</f>
        <v>0</v>
      </c>
      <c r="I15" s="33">
        <f>0</f>
        <v>0</v>
      </c>
      <c r="J15" s="33">
        <f>0</f>
        <v>0</v>
      </c>
      <c r="K15" s="33">
        <f>0</f>
        <v>0</v>
      </c>
      <c r="L15" s="33">
        <f>0</f>
        <v>0</v>
      </c>
      <c r="M15" s="33">
        <f>0</f>
        <v>0</v>
      </c>
      <c r="N15" s="33">
        <f>0</f>
        <v>0</v>
      </c>
      <c r="O15" s="33">
        <f>0</f>
        <v>0</v>
      </c>
      <c r="P15" s="33">
        <f>0</f>
        <v>0</v>
      </c>
      <c r="Q15" s="33">
        <f>0</f>
        <v>0</v>
      </c>
    </row>
    <row r="16" spans="1:17" ht="24" customHeight="1" x14ac:dyDescent="0.2">
      <c r="A16" s="19" t="s">
        <v>49</v>
      </c>
      <c r="B16" s="33">
        <f>941464000</f>
        <v>941464000</v>
      </c>
      <c r="C16" s="33">
        <f>941464000</f>
        <v>941464000</v>
      </c>
      <c r="D16" s="33">
        <f>0</f>
        <v>0</v>
      </c>
      <c r="E16" s="33">
        <f>0</f>
        <v>0</v>
      </c>
      <c r="F16" s="33">
        <f>0</f>
        <v>0</v>
      </c>
      <c r="G16" s="33">
        <f>0</f>
        <v>0</v>
      </c>
      <c r="H16" s="33">
        <f>0</f>
        <v>0</v>
      </c>
      <c r="I16" s="33">
        <f>0</f>
        <v>0</v>
      </c>
      <c r="J16" s="33">
        <f>910914000</f>
        <v>910914000</v>
      </c>
      <c r="K16" s="33">
        <f>30550000</f>
        <v>30550000</v>
      </c>
      <c r="L16" s="33">
        <f>0</f>
        <v>0</v>
      </c>
      <c r="M16" s="33">
        <f>0</f>
        <v>0</v>
      </c>
      <c r="N16" s="33">
        <f>0</f>
        <v>0</v>
      </c>
      <c r="O16" s="33">
        <f>0</f>
        <v>0</v>
      </c>
      <c r="P16" s="33">
        <f>0</f>
        <v>0</v>
      </c>
      <c r="Q16" s="33">
        <f>0</f>
        <v>0</v>
      </c>
    </row>
    <row r="17" spans="1:17" ht="31.5" customHeight="1" x14ac:dyDescent="0.2">
      <c r="A17" s="30" t="s">
        <v>50</v>
      </c>
      <c r="B17" s="28">
        <f>37668156542.54</f>
        <v>37668156542.540001</v>
      </c>
      <c r="C17" s="28">
        <f>37668156542.54</f>
        <v>37668156542.540001</v>
      </c>
      <c r="D17" s="28">
        <f>2498423486.6</f>
        <v>2498423486.5999999</v>
      </c>
      <c r="E17" s="28">
        <f>284373769.5</f>
        <v>284373769.5</v>
      </c>
      <c r="F17" s="28">
        <f>476737944.45</f>
        <v>476737944.44999999</v>
      </c>
      <c r="G17" s="28">
        <f>1737311772.65</f>
        <v>1737311772.6500001</v>
      </c>
      <c r="H17" s="28">
        <f>0</f>
        <v>0</v>
      </c>
      <c r="I17" s="28">
        <f>0</f>
        <v>0</v>
      </c>
      <c r="J17" s="28">
        <f>33175838950.59</f>
        <v>33175838950.59</v>
      </c>
      <c r="K17" s="28">
        <f>1807918360.25</f>
        <v>1807918360.25</v>
      </c>
      <c r="L17" s="28">
        <f>167697160.43</f>
        <v>167697160.43000001</v>
      </c>
      <c r="M17" s="28">
        <f>4372656.32</f>
        <v>4372656.32</v>
      </c>
      <c r="N17" s="28">
        <f>13905928.35</f>
        <v>13905928.35</v>
      </c>
      <c r="O17" s="28">
        <f>0</f>
        <v>0</v>
      </c>
      <c r="P17" s="28">
        <f>0</f>
        <v>0</v>
      </c>
      <c r="Q17" s="28">
        <f>0</f>
        <v>0</v>
      </c>
    </row>
    <row r="18" spans="1:17" ht="33" customHeight="1" x14ac:dyDescent="0.2">
      <c r="A18" s="20" t="s">
        <v>51</v>
      </c>
      <c r="B18" s="33">
        <f>768786242.12</f>
        <v>768786242.12</v>
      </c>
      <c r="C18" s="33">
        <f>768786242.12</f>
        <v>768786242.12</v>
      </c>
      <c r="D18" s="33">
        <f>65093036.62</f>
        <v>65093036.619999997</v>
      </c>
      <c r="E18" s="33">
        <f>53780916.23</f>
        <v>53780916.229999997</v>
      </c>
      <c r="F18" s="33">
        <f>429971</f>
        <v>429971</v>
      </c>
      <c r="G18" s="33">
        <f>10882149.39</f>
        <v>10882149.390000001</v>
      </c>
      <c r="H18" s="33">
        <f>0</f>
        <v>0</v>
      </c>
      <c r="I18" s="33">
        <f>0</f>
        <v>0</v>
      </c>
      <c r="J18" s="33">
        <f>686353401.11</f>
        <v>686353401.11000001</v>
      </c>
      <c r="K18" s="33">
        <f>16213609</f>
        <v>16213609</v>
      </c>
      <c r="L18" s="33">
        <f>86195.39</f>
        <v>86195.39</v>
      </c>
      <c r="M18" s="33">
        <f>1040000</f>
        <v>1040000</v>
      </c>
      <c r="N18" s="33">
        <f>0</f>
        <v>0</v>
      </c>
      <c r="O18" s="33">
        <f>0</f>
        <v>0</v>
      </c>
      <c r="P18" s="33">
        <f>0</f>
        <v>0</v>
      </c>
      <c r="Q18" s="33">
        <f>0</f>
        <v>0</v>
      </c>
    </row>
    <row r="19" spans="1:17" ht="25.5" customHeight="1" x14ac:dyDescent="0.2">
      <c r="A19" s="21" t="s">
        <v>52</v>
      </c>
      <c r="B19" s="33">
        <f>36899370300.42</f>
        <v>36899370300.419998</v>
      </c>
      <c r="C19" s="33">
        <f>36899370300.42</f>
        <v>36899370300.419998</v>
      </c>
      <c r="D19" s="33">
        <f>2433330449.98</f>
        <v>2433330449.98</v>
      </c>
      <c r="E19" s="33">
        <f>230592853.27</f>
        <v>230592853.27000001</v>
      </c>
      <c r="F19" s="33">
        <f>476307973.45</f>
        <v>476307973.44999999</v>
      </c>
      <c r="G19" s="33">
        <f>1726429623.26</f>
        <v>1726429623.26</v>
      </c>
      <c r="H19" s="33">
        <f>0</f>
        <v>0</v>
      </c>
      <c r="I19" s="33">
        <f>0</f>
        <v>0</v>
      </c>
      <c r="J19" s="33">
        <f>32489485549.48</f>
        <v>32489485549.48</v>
      </c>
      <c r="K19" s="33">
        <f>1791704751.25</f>
        <v>1791704751.25</v>
      </c>
      <c r="L19" s="33">
        <f>167610965.04</f>
        <v>167610965.03999999</v>
      </c>
      <c r="M19" s="33">
        <f>3332656.32</f>
        <v>3332656.32</v>
      </c>
      <c r="N19" s="33">
        <f>13905928.35</f>
        <v>13905928.35</v>
      </c>
      <c r="O19" s="33">
        <f>0</f>
        <v>0</v>
      </c>
      <c r="P19" s="33">
        <f>0</f>
        <v>0</v>
      </c>
      <c r="Q19" s="33">
        <f>0</f>
        <v>0</v>
      </c>
    </row>
    <row r="20" spans="1:17" ht="27.75" customHeight="1" x14ac:dyDescent="0.2">
      <c r="A20" s="31" t="s">
        <v>53</v>
      </c>
      <c r="B20" s="28">
        <f>1500000</f>
        <v>1500000</v>
      </c>
      <c r="C20" s="28">
        <f>1500000</f>
        <v>1500000</v>
      </c>
      <c r="D20" s="28">
        <f>1500000</f>
        <v>1500000</v>
      </c>
      <c r="E20" s="28">
        <f>0</f>
        <v>0</v>
      </c>
      <c r="F20" s="28">
        <f>0</f>
        <v>0</v>
      </c>
      <c r="G20" s="28">
        <f>1500000</f>
        <v>1500000</v>
      </c>
      <c r="H20" s="28">
        <f>0</f>
        <v>0</v>
      </c>
      <c r="I20" s="28">
        <f>0</f>
        <v>0</v>
      </c>
      <c r="J20" s="28">
        <f>0</f>
        <v>0</v>
      </c>
      <c r="K20" s="28">
        <f>0</f>
        <v>0</v>
      </c>
      <c r="L20" s="28">
        <f>0</f>
        <v>0</v>
      </c>
      <c r="M20" s="28">
        <f>0</f>
        <v>0</v>
      </c>
      <c r="N20" s="28">
        <f>0</f>
        <v>0</v>
      </c>
      <c r="O20" s="28">
        <f>0</f>
        <v>0</v>
      </c>
      <c r="P20" s="28">
        <f>0</f>
        <v>0</v>
      </c>
      <c r="Q20" s="28">
        <f>0</f>
        <v>0</v>
      </c>
    </row>
    <row r="21" spans="1:17" ht="36" x14ac:dyDescent="0.2">
      <c r="A21" s="32" t="s">
        <v>54</v>
      </c>
      <c r="B21" s="28">
        <f>77805475.34</f>
        <v>77805475.340000004</v>
      </c>
      <c r="C21" s="28">
        <f>77804456.03</f>
        <v>77804456.030000001</v>
      </c>
      <c r="D21" s="28">
        <f>23651543.92</f>
        <v>23651543.920000002</v>
      </c>
      <c r="E21" s="28">
        <f>5372950.63</f>
        <v>5372950.6299999999</v>
      </c>
      <c r="F21" s="28">
        <f>39349</f>
        <v>39349</v>
      </c>
      <c r="G21" s="28">
        <f>16446307.76</f>
        <v>16446307.76</v>
      </c>
      <c r="H21" s="28">
        <f>1792936.53</f>
        <v>1792936.53</v>
      </c>
      <c r="I21" s="28">
        <f>0</f>
        <v>0</v>
      </c>
      <c r="J21" s="28">
        <f>226460.01</f>
        <v>226460.01</v>
      </c>
      <c r="K21" s="28">
        <f>991407.93</f>
        <v>991407.93</v>
      </c>
      <c r="L21" s="28">
        <f>37758370.92</f>
        <v>37758370.920000002</v>
      </c>
      <c r="M21" s="28">
        <f>11561203.06</f>
        <v>11561203.060000001</v>
      </c>
      <c r="N21" s="28">
        <f>3615470.19</f>
        <v>3615470.19</v>
      </c>
      <c r="O21" s="28">
        <f>1019.31</f>
        <v>1019.31</v>
      </c>
      <c r="P21" s="28">
        <f>0</f>
        <v>0</v>
      </c>
      <c r="Q21" s="28">
        <f>1019.31</f>
        <v>1019.31</v>
      </c>
    </row>
    <row r="22" spans="1:17" ht="27" customHeight="1" x14ac:dyDescent="0.2">
      <c r="A22" s="19" t="s">
        <v>55</v>
      </c>
      <c r="B22" s="33">
        <f>49162463.63</f>
        <v>49162463.630000003</v>
      </c>
      <c r="C22" s="33">
        <f>49162463.63</f>
        <v>49162463.630000003</v>
      </c>
      <c r="D22" s="33">
        <f>6651238.96</f>
        <v>6651238.96</v>
      </c>
      <c r="E22" s="33">
        <f>0</f>
        <v>0</v>
      </c>
      <c r="F22" s="33">
        <f>1431</f>
        <v>1431</v>
      </c>
      <c r="G22" s="33">
        <f>6649807.96</f>
        <v>6649807.96</v>
      </c>
      <c r="H22" s="33">
        <f>0</f>
        <v>0</v>
      </c>
      <c r="I22" s="33">
        <f>0</f>
        <v>0</v>
      </c>
      <c r="J22" s="33">
        <f>226460</f>
        <v>226460</v>
      </c>
      <c r="K22" s="33">
        <f>991353.92</f>
        <v>991353.92</v>
      </c>
      <c r="L22" s="33">
        <f>32839162.44</f>
        <v>32839162.440000001</v>
      </c>
      <c r="M22" s="33">
        <f>5385301.34</f>
        <v>5385301.3399999999</v>
      </c>
      <c r="N22" s="33">
        <f>3068946.97</f>
        <v>3068946.97</v>
      </c>
      <c r="O22" s="33">
        <f>0</f>
        <v>0</v>
      </c>
      <c r="P22" s="33">
        <f>0</f>
        <v>0</v>
      </c>
      <c r="Q22" s="33">
        <f>0</f>
        <v>0</v>
      </c>
    </row>
    <row r="23" spans="1:17" ht="31.5" customHeight="1" x14ac:dyDescent="0.2">
      <c r="A23" s="25" t="s">
        <v>56</v>
      </c>
      <c r="B23" s="33">
        <f>28643011.71</f>
        <v>28643011.710000001</v>
      </c>
      <c r="C23" s="33">
        <f>28641992.4</f>
        <v>28641992.399999999</v>
      </c>
      <c r="D23" s="33">
        <f>17000304.96</f>
        <v>17000304.960000001</v>
      </c>
      <c r="E23" s="33">
        <f>5372950.63</f>
        <v>5372950.6299999999</v>
      </c>
      <c r="F23" s="33">
        <f>37918</f>
        <v>37918</v>
      </c>
      <c r="G23" s="33">
        <f>9796499.8</f>
        <v>9796499.8000000007</v>
      </c>
      <c r="H23" s="33">
        <f>1792936.53</f>
        <v>1792936.53</v>
      </c>
      <c r="I23" s="33">
        <f>0</f>
        <v>0</v>
      </c>
      <c r="J23" s="33">
        <f>0.01</f>
        <v>0.01</v>
      </c>
      <c r="K23" s="33">
        <f>54.01</f>
        <v>54.01</v>
      </c>
      <c r="L23" s="33">
        <f>4919208.48</f>
        <v>4919208.4800000004</v>
      </c>
      <c r="M23" s="33">
        <f>6175901.72</f>
        <v>6175901.7199999997</v>
      </c>
      <c r="N23" s="33">
        <f>546523.22</f>
        <v>546523.22</v>
      </c>
      <c r="O23" s="33">
        <f>1019.31</f>
        <v>1019.31</v>
      </c>
      <c r="P23" s="33">
        <f>0</f>
        <v>0</v>
      </c>
      <c r="Q23" s="33">
        <f>1019.31</f>
        <v>1019.31</v>
      </c>
    </row>
    <row r="24" spans="1:17" ht="19.5" customHeight="1" x14ac:dyDescent="0.2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ht="19.5" customHeight="1" x14ac:dyDescent="0.2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ht="19.5" customHeight="1" x14ac:dyDescent="0.2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ht="19.5" customHeight="1" x14ac:dyDescent="0.2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1:17" ht="19.5" customHeight="1" x14ac:dyDescent="0.2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</row>
    <row r="29" spans="1:17" ht="19.5" customHeight="1" x14ac:dyDescent="0.2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</row>
    <row r="30" spans="1:17" ht="19.5" customHeight="1" x14ac:dyDescent="0.2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</row>
    <row r="31" spans="1:17" ht="19.5" customHeight="1" x14ac:dyDescent="0.2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</row>
    <row r="32" spans="1:17" ht="19.5" customHeight="1" x14ac:dyDescent="0.2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1:17" ht="19.5" customHeight="1" x14ac:dyDescent="0.2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</row>
    <row r="34" spans="1:17" ht="45.75" customHeight="1" x14ac:dyDescent="0.2">
      <c r="A34" s="51" t="str">
        <f>CONCATENATE("Informacja z wykonania budżetów gmin za ",$C$104," ",$B$105," roku   ",$B$107,"")</f>
        <v xml:space="preserve">Informacja z wykonania budżetów gmin za III Kwartały 2024 roku   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</row>
    <row r="36" spans="1:17" ht="13.5" customHeight="1" x14ac:dyDescent="0.2">
      <c r="A36" s="55" t="s">
        <v>11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</row>
    <row r="38" spans="1:17" ht="13.5" customHeight="1" x14ac:dyDescent="0.2">
      <c r="A38" s="40" t="s">
        <v>0</v>
      </c>
      <c r="B38" s="56" t="s">
        <v>12</v>
      </c>
      <c r="C38" s="48" t="s">
        <v>14</v>
      </c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50"/>
      <c r="O38" s="52" t="s">
        <v>24</v>
      </c>
      <c r="P38" s="53"/>
      <c r="Q38" s="54"/>
    </row>
    <row r="39" spans="1:17" ht="13.5" customHeight="1" x14ac:dyDescent="0.2">
      <c r="A39" s="41"/>
      <c r="B39" s="43"/>
      <c r="C39" s="43" t="s">
        <v>13</v>
      </c>
      <c r="D39" s="45" t="s">
        <v>15</v>
      </c>
      <c r="E39" s="45" t="s">
        <v>25</v>
      </c>
      <c r="F39" s="45" t="s">
        <v>26</v>
      </c>
      <c r="G39" s="45" t="s">
        <v>74</v>
      </c>
      <c r="H39" s="45" t="s">
        <v>28</v>
      </c>
      <c r="I39" s="45" t="s">
        <v>1</v>
      </c>
      <c r="J39" s="45" t="s">
        <v>16</v>
      </c>
      <c r="K39" s="45" t="s">
        <v>17</v>
      </c>
      <c r="L39" s="45" t="s">
        <v>18</v>
      </c>
      <c r="M39" s="45" t="s">
        <v>19</v>
      </c>
      <c r="N39" s="89" t="s">
        <v>20</v>
      </c>
      <c r="O39" s="47" t="s">
        <v>21</v>
      </c>
      <c r="P39" s="47" t="s">
        <v>22</v>
      </c>
      <c r="Q39" s="98" t="s">
        <v>23</v>
      </c>
    </row>
    <row r="40" spans="1:17" ht="11.25" customHeight="1" x14ac:dyDescent="0.2">
      <c r="A40" s="41"/>
      <c r="B40" s="43"/>
      <c r="C40" s="43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89"/>
      <c r="O40" s="47"/>
      <c r="P40" s="47"/>
      <c r="Q40" s="99"/>
    </row>
    <row r="41" spans="1:17" ht="32.25" customHeight="1" x14ac:dyDescent="0.2">
      <c r="A41" s="42"/>
      <c r="B41" s="44"/>
      <c r="C41" s="44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89"/>
      <c r="O41" s="47"/>
      <c r="P41" s="47"/>
      <c r="Q41" s="100"/>
    </row>
    <row r="42" spans="1:17" ht="12.75" customHeight="1" x14ac:dyDescent="0.2">
      <c r="A42" s="14">
        <v>1</v>
      </c>
      <c r="B42" s="14">
        <v>2</v>
      </c>
      <c r="C42" s="14">
        <v>3</v>
      </c>
      <c r="D42" s="14">
        <v>4</v>
      </c>
      <c r="E42" s="14">
        <v>5</v>
      </c>
      <c r="F42" s="14">
        <v>6</v>
      </c>
      <c r="G42" s="14">
        <v>7</v>
      </c>
      <c r="H42" s="14">
        <v>8</v>
      </c>
      <c r="I42" s="14">
        <v>9</v>
      </c>
      <c r="J42" s="14">
        <v>10</v>
      </c>
      <c r="K42" s="14">
        <v>11</v>
      </c>
      <c r="L42" s="14">
        <v>12</v>
      </c>
      <c r="M42" s="14">
        <v>13</v>
      </c>
      <c r="N42" s="14">
        <v>14</v>
      </c>
      <c r="O42" s="14">
        <v>15</v>
      </c>
      <c r="P42" s="14">
        <v>16</v>
      </c>
      <c r="Q42" s="14">
        <v>17</v>
      </c>
    </row>
    <row r="43" spans="1:17" ht="13.5" customHeight="1" x14ac:dyDescent="0.2">
      <c r="A43" s="14"/>
      <c r="B43" s="48" t="s">
        <v>80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50"/>
    </row>
    <row r="44" spans="1:17" ht="24.75" customHeight="1" x14ac:dyDescent="0.2">
      <c r="A44" s="34" t="s">
        <v>41</v>
      </c>
      <c r="B44" s="35">
        <f>4146594.18</f>
        <v>4146594.18</v>
      </c>
      <c r="C44" s="35">
        <f>4146594.18</f>
        <v>4146594.18</v>
      </c>
      <c r="D44" s="35">
        <f>0</f>
        <v>0</v>
      </c>
      <c r="E44" s="35">
        <f>0</f>
        <v>0</v>
      </c>
      <c r="F44" s="35">
        <f>0</f>
        <v>0</v>
      </c>
      <c r="G44" s="35">
        <f>0</f>
        <v>0</v>
      </c>
      <c r="H44" s="35">
        <f>0</f>
        <v>0</v>
      </c>
      <c r="I44" s="35">
        <f>0</f>
        <v>0</v>
      </c>
      <c r="J44" s="35">
        <f>243750.25</f>
        <v>243750.25</v>
      </c>
      <c r="K44" s="35">
        <f>6125</f>
        <v>6125</v>
      </c>
      <c r="L44" s="35">
        <f>3062477.59</f>
        <v>3062477.59</v>
      </c>
      <c r="M44" s="35">
        <f>394241.34</f>
        <v>394241.34</v>
      </c>
      <c r="N44" s="35">
        <f>440000</f>
        <v>440000</v>
      </c>
      <c r="O44" s="35">
        <f>0</f>
        <v>0</v>
      </c>
      <c r="P44" s="35">
        <f>0</f>
        <v>0</v>
      </c>
      <c r="Q44" s="35">
        <f>0</f>
        <v>0</v>
      </c>
    </row>
    <row r="45" spans="1:17" ht="24.75" customHeight="1" x14ac:dyDescent="0.2">
      <c r="A45" s="23" t="s">
        <v>29</v>
      </c>
      <c r="B45" s="26">
        <f>1081516.63</f>
        <v>1081516.6299999999</v>
      </c>
      <c r="C45" s="26">
        <f>1081516.63</f>
        <v>1081516.6299999999</v>
      </c>
      <c r="D45" s="26">
        <f>0</f>
        <v>0</v>
      </c>
      <c r="E45" s="26">
        <f>0</f>
        <v>0</v>
      </c>
      <c r="F45" s="26">
        <f>0</f>
        <v>0</v>
      </c>
      <c r="G45" s="26">
        <f>0</f>
        <v>0</v>
      </c>
      <c r="H45" s="26">
        <f>0</f>
        <v>0</v>
      </c>
      <c r="I45" s="26">
        <f>0</f>
        <v>0</v>
      </c>
      <c r="J45" s="26">
        <f>6000</f>
        <v>6000</v>
      </c>
      <c r="K45" s="26">
        <f>0</f>
        <v>0</v>
      </c>
      <c r="L45" s="26">
        <f>635479.48</f>
        <v>635479.48</v>
      </c>
      <c r="M45" s="26">
        <f>37.15</f>
        <v>37.15</v>
      </c>
      <c r="N45" s="26">
        <f>440000</f>
        <v>440000</v>
      </c>
      <c r="O45" s="15">
        <f>0</f>
        <v>0</v>
      </c>
      <c r="P45" s="15">
        <f>0</f>
        <v>0</v>
      </c>
      <c r="Q45" s="15">
        <f>0</f>
        <v>0</v>
      </c>
    </row>
    <row r="46" spans="1:17" ht="24.75" customHeight="1" x14ac:dyDescent="0.2">
      <c r="A46" s="23" t="s">
        <v>30</v>
      </c>
      <c r="B46" s="26">
        <f>3065077.55</f>
        <v>3065077.55</v>
      </c>
      <c r="C46" s="26">
        <f>3065077.55</f>
        <v>3065077.55</v>
      </c>
      <c r="D46" s="26">
        <f>0</f>
        <v>0</v>
      </c>
      <c r="E46" s="26">
        <f>0</f>
        <v>0</v>
      </c>
      <c r="F46" s="26">
        <f>0</f>
        <v>0</v>
      </c>
      <c r="G46" s="26">
        <f>0</f>
        <v>0</v>
      </c>
      <c r="H46" s="26">
        <f>0</f>
        <v>0</v>
      </c>
      <c r="I46" s="26">
        <f>0</f>
        <v>0</v>
      </c>
      <c r="J46" s="26">
        <f>237750.25</f>
        <v>237750.25</v>
      </c>
      <c r="K46" s="26">
        <f>6125</f>
        <v>6125</v>
      </c>
      <c r="L46" s="26">
        <f>2426998.11</f>
        <v>2426998.11</v>
      </c>
      <c r="M46" s="26">
        <f>394204.19</f>
        <v>394204.19</v>
      </c>
      <c r="N46" s="26">
        <f>0</f>
        <v>0</v>
      </c>
      <c r="O46" s="15">
        <f>0</f>
        <v>0</v>
      </c>
      <c r="P46" s="15">
        <f>0</f>
        <v>0</v>
      </c>
      <c r="Q46" s="15">
        <f>0</f>
        <v>0</v>
      </c>
    </row>
    <row r="47" spans="1:17" ht="24.75" customHeight="1" x14ac:dyDescent="0.2">
      <c r="A47" s="24" t="s">
        <v>42</v>
      </c>
      <c r="B47" s="26">
        <f>495498748.06</f>
        <v>495498748.06</v>
      </c>
      <c r="C47" s="26">
        <f>495350765.24</f>
        <v>495350765.24000001</v>
      </c>
      <c r="D47" s="26">
        <f>31238162.11</f>
        <v>31238162.109999999</v>
      </c>
      <c r="E47" s="26">
        <f>17841.6</f>
        <v>17841.599999999999</v>
      </c>
      <c r="F47" s="26">
        <f>4048</f>
        <v>4048</v>
      </c>
      <c r="G47" s="26">
        <f>26913536.51</f>
        <v>26913536.510000002</v>
      </c>
      <c r="H47" s="26">
        <f>4302736</f>
        <v>4302736</v>
      </c>
      <c r="I47" s="26">
        <f>0</f>
        <v>0</v>
      </c>
      <c r="J47" s="26">
        <f>50808.13</f>
        <v>50808.13</v>
      </c>
      <c r="K47" s="26">
        <f>326461.14</f>
        <v>326461.14</v>
      </c>
      <c r="L47" s="26">
        <f>184897907.7</f>
        <v>184897907.69999999</v>
      </c>
      <c r="M47" s="26">
        <f>237008837.63</f>
        <v>237008837.63</v>
      </c>
      <c r="N47" s="26">
        <f>41828588.53</f>
        <v>41828588.530000001</v>
      </c>
      <c r="O47" s="15">
        <f>147982.82</f>
        <v>147982.82</v>
      </c>
      <c r="P47" s="15">
        <f>10182.82</f>
        <v>10182.82</v>
      </c>
      <c r="Q47" s="15">
        <f>137800</f>
        <v>137800</v>
      </c>
    </row>
    <row r="48" spans="1:17" ht="24.75" customHeight="1" x14ac:dyDescent="0.2">
      <c r="A48" s="23" t="s">
        <v>31</v>
      </c>
      <c r="B48" s="26">
        <f>82656582.41</f>
        <v>82656582.409999996</v>
      </c>
      <c r="C48" s="26">
        <f>82518782.41</f>
        <v>82518782.409999996</v>
      </c>
      <c r="D48" s="26">
        <f>15774374.45</f>
        <v>15774374.449999999</v>
      </c>
      <c r="E48" s="26">
        <f>0</f>
        <v>0</v>
      </c>
      <c r="F48" s="26">
        <f>0</f>
        <v>0</v>
      </c>
      <c r="G48" s="26">
        <f>11474374.45</f>
        <v>11474374.449999999</v>
      </c>
      <c r="H48" s="26">
        <f>4300000</f>
        <v>4300000</v>
      </c>
      <c r="I48" s="26">
        <f>0</f>
        <v>0</v>
      </c>
      <c r="J48" s="26">
        <f>0</f>
        <v>0</v>
      </c>
      <c r="K48" s="26">
        <f>0</f>
        <v>0</v>
      </c>
      <c r="L48" s="26">
        <f>38996946.22</f>
        <v>38996946.219999999</v>
      </c>
      <c r="M48" s="26">
        <f>2211169.28</f>
        <v>2211169.2799999998</v>
      </c>
      <c r="N48" s="26">
        <f>25536292.46</f>
        <v>25536292.460000001</v>
      </c>
      <c r="O48" s="15">
        <f>137800</f>
        <v>137800</v>
      </c>
      <c r="P48" s="15">
        <f>0</f>
        <v>0</v>
      </c>
      <c r="Q48" s="15">
        <f>137800</f>
        <v>137800</v>
      </c>
    </row>
    <row r="49" spans="1:17" ht="24.75" customHeight="1" x14ac:dyDescent="0.2">
      <c r="A49" s="23" t="s">
        <v>32</v>
      </c>
      <c r="B49" s="26">
        <f>412842165.65</f>
        <v>412842165.64999998</v>
      </c>
      <c r="C49" s="26">
        <f>412831982.83</f>
        <v>412831982.82999998</v>
      </c>
      <c r="D49" s="26">
        <f>15463787.66</f>
        <v>15463787.66</v>
      </c>
      <c r="E49" s="26">
        <f>17841.6</f>
        <v>17841.599999999999</v>
      </c>
      <c r="F49" s="26">
        <f>4048</f>
        <v>4048</v>
      </c>
      <c r="G49" s="26">
        <f>15439162.06</f>
        <v>15439162.060000001</v>
      </c>
      <c r="H49" s="26">
        <f>2736</f>
        <v>2736</v>
      </c>
      <c r="I49" s="26">
        <f>0</f>
        <v>0</v>
      </c>
      <c r="J49" s="26">
        <f>50808.13</f>
        <v>50808.13</v>
      </c>
      <c r="K49" s="26">
        <f>326461.14</f>
        <v>326461.14</v>
      </c>
      <c r="L49" s="26">
        <f>145900961.48</f>
        <v>145900961.47999999</v>
      </c>
      <c r="M49" s="26">
        <f>234797668.35</f>
        <v>234797668.34999999</v>
      </c>
      <c r="N49" s="26">
        <f>16292296.07</f>
        <v>16292296.07</v>
      </c>
      <c r="O49" s="15">
        <f>10182.82</f>
        <v>10182.82</v>
      </c>
      <c r="P49" s="15">
        <f>10182.82</f>
        <v>10182.82</v>
      </c>
      <c r="Q49" s="15">
        <f>0</f>
        <v>0</v>
      </c>
    </row>
    <row r="50" spans="1:17" ht="24.75" customHeight="1" x14ac:dyDescent="0.2">
      <c r="A50" s="34" t="s">
        <v>43</v>
      </c>
      <c r="B50" s="35">
        <f>23975754222.47</f>
        <v>23975754222.470001</v>
      </c>
      <c r="C50" s="35">
        <f>23975754222.47</f>
        <v>23975754222.470001</v>
      </c>
      <c r="D50" s="35">
        <f>17976411.94</f>
        <v>17976411.940000001</v>
      </c>
      <c r="E50" s="35">
        <f>480779.9</f>
        <v>480779.9</v>
      </c>
      <c r="F50" s="35">
        <f>8624.58</f>
        <v>8624.58</v>
      </c>
      <c r="G50" s="35">
        <f>17487007.46</f>
        <v>17487007.460000001</v>
      </c>
      <c r="H50" s="35">
        <f>0</f>
        <v>0</v>
      </c>
      <c r="I50" s="35">
        <f>97788.07</f>
        <v>97788.07</v>
      </c>
      <c r="J50" s="35">
        <f>23946226176.04</f>
        <v>23946226176.040001</v>
      </c>
      <c r="K50" s="35">
        <f>218607.53</f>
        <v>218607.53</v>
      </c>
      <c r="L50" s="35">
        <f>11105195.76</f>
        <v>11105195.76</v>
      </c>
      <c r="M50" s="35">
        <f>130043.13</f>
        <v>130043.13</v>
      </c>
      <c r="N50" s="35">
        <f>0</f>
        <v>0</v>
      </c>
      <c r="O50" s="35">
        <f>0</f>
        <v>0</v>
      </c>
      <c r="P50" s="35">
        <f>0</f>
        <v>0</v>
      </c>
      <c r="Q50" s="35">
        <f>0</f>
        <v>0</v>
      </c>
    </row>
    <row r="51" spans="1:17" ht="24.75" customHeight="1" x14ac:dyDescent="0.2">
      <c r="A51" s="23" t="s">
        <v>33</v>
      </c>
      <c r="B51" s="26">
        <f>17413122.26</f>
        <v>17413122.260000002</v>
      </c>
      <c r="C51" s="26">
        <f>17413122.26</f>
        <v>17413122.260000002</v>
      </c>
      <c r="D51" s="26">
        <f>17413122.26</f>
        <v>17413122.260000002</v>
      </c>
      <c r="E51" s="26">
        <f>0</f>
        <v>0</v>
      </c>
      <c r="F51" s="26">
        <f>0</f>
        <v>0</v>
      </c>
      <c r="G51" s="26">
        <f>17413122.26</f>
        <v>17413122.260000002</v>
      </c>
      <c r="H51" s="26">
        <f>0</f>
        <v>0</v>
      </c>
      <c r="I51" s="26">
        <f>0</f>
        <v>0</v>
      </c>
      <c r="J51" s="26">
        <f>0</f>
        <v>0</v>
      </c>
      <c r="K51" s="26">
        <f>0</f>
        <v>0</v>
      </c>
      <c r="L51" s="26">
        <f>0</f>
        <v>0</v>
      </c>
      <c r="M51" s="26">
        <f>0</f>
        <v>0</v>
      </c>
      <c r="N51" s="26">
        <f>0</f>
        <v>0</v>
      </c>
      <c r="O51" s="15">
        <f>0</f>
        <v>0</v>
      </c>
      <c r="P51" s="15">
        <f>0</f>
        <v>0</v>
      </c>
      <c r="Q51" s="15">
        <f>0</f>
        <v>0</v>
      </c>
    </row>
    <row r="52" spans="1:17" ht="24.75" customHeight="1" x14ac:dyDescent="0.2">
      <c r="A52" s="23" t="s">
        <v>34</v>
      </c>
      <c r="B52" s="26">
        <f>17259612421.95</f>
        <v>17259612421.950001</v>
      </c>
      <c r="C52" s="26">
        <f>17259612421.95</f>
        <v>17259612421.950001</v>
      </c>
      <c r="D52" s="26">
        <f>154486.21</f>
        <v>154486.21</v>
      </c>
      <c r="E52" s="26">
        <f>145951.21</f>
        <v>145951.21</v>
      </c>
      <c r="F52" s="26">
        <f>6600</f>
        <v>6600</v>
      </c>
      <c r="G52" s="26">
        <f>1935</f>
        <v>1935</v>
      </c>
      <c r="H52" s="26">
        <f>0</f>
        <v>0</v>
      </c>
      <c r="I52" s="26">
        <f>97788.07</f>
        <v>97788.07</v>
      </c>
      <c r="J52" s="26">
        <f>17248310178.26</f>
        <v>17248310178.259998</v>
      </c>
      <c r="K52" s="26">
        <f>216101.21</f>
        <v>216101.21</v>
      </c>
      <c r="L52" s="26">
        <f>10833804.76</f>
        <v>10833804.76</v>
      </c>
      <c r="M52" s="26">
        <f>63.44</f>
        <v>63.44</v>
      </c>
      <c r="N52" s="26">
        <f>0</f>
        <v>0</v>
      </c>
      <c r="O52" s="15">
        <f>0</f>
        <v>0</v>
      </c>
      <c r="P52" s="15">
        <f>0</f>
        <v>0</v>
      </c>
      <c r="Q52" s="15">
        <f>0</f>
        <v>0</v>
      </c>
    </row>
    <row r="53" spans="1:17" ht="24.75" customHeight="1" x14ac:dyDescent="0.2">
      <c r="A53" s="23" t="s">
        <v>35</v>
      </c>
      <c r="B53" s="26">
        <f>6698728678.26</f>
        <v>6698728678.2600002</v>
      </c>
      <c r="C53" s="26">
        <f>6698728678.26</f>
        <v>6698728678.2600002</v>
      </c>
      <c r="D53" s="26">
        <f>408803.47</f>
        <v>408803.47</v>
      </c>
      <c r="E53" s="26">
        <f>334828.69</f>
        <v>334828.69</v>
      </c>
      <c r="F53" s="26">
        <f>2024.58</f>
        <v>2024.58</v>
      </c>
      <c r="G53" s="26">
        <f>71950.2</f>
        <v>71950.2</v>
      </c>
      <c r="H53" s="26">
        <f>0</f>
        <v>0</v>
      </c>
      <c r="I53" s="26">
        <f>0</f>
        <v>0</v>
      </c>
      <c r="J53" s="26">
        <f>6697915997.78</f>
        <v>6697915997.7799997</v>
      </c>
      <c r="K53" s="26">
        <f>2506.32</f>
        <v>2506.3200000000002</v>
      </c>
      <c r="L53" s="26">
        <f>271391</f>
        <v>271391</v>
      </c>
      <c r="M53" s="26">
        <f>129979.69</f>
        <v>129979.69</v>
      </c>
      <c r="N53" s="26">
        <f>0</f>
        <v>0</v>
      </c>
      <c r="O53" s="15">
        <f>0</f>
        <v>0</v>
      </c>
      <c r="P53" s="15">
        <f>0</f>
        <v>0</v>
      </c>
      <c r="Q53" s="15">
        <f>0</f>
        <v>0</v>
      </c>
    </row>
    <row r="54" spans="1:17" ht="24.75" customHeight="1" x14ac:dyDescent="0.2">
      <c r="A54" s="34" t="s">
        <v>44</v>
      </c>
      <c r="B54" s="35">
        <f>10828534832.57</f>
        <v>10828534832.57</v>
      </c>
      <c r="C54" s="35">
        <f>10800446503.85</f>
        <v>10800446503.85</v>
      </c>
      <c r="D54" s="35">
        <f>94868479.32</f>
        <v>94868479.319999993</v>
      </c>
      <c r="E54" s="35">
        <f>55899911.82</f>
        <v>55899911.82</v>
      </c>
      <c r="F54" s="35">
        <f>1283064.82</f>
        <v>1283064.82</v>
      </c>
      <c r="G54" s="35">
        <f>36954426.63</f>
        <v>36954426.630000003</v>
      </c>
      <c r="H54" s="35">
        <f>731076.05</f>
        <v>731076.05</v>
      </c>
      <c r="I54" s="35">
        <f>0</f>
        <v>0</v>
      </c>
      <c r="J54" s="35">
        <f>8660048.41</f>
        <v>8660048.4100000001</v>
      </c>
      <c r="K54" s="35">
        <f>11236602.93</f>
        <v>11236602.93</v>
      </c>
      <c r="L54" s="35">
        <f>2347019313.7</f>
        <v>2347019313.6999998</v>
      </c>
      <c r="M54" s="35">
        <f>8247626820.61</f>
        <v>8247626820.6099997</v>
      </c>
      <c r="N54" s="35">
        <f>91035238.88</f>
        <v>91035238.879999995</v>
      </c>
      <c r="O54" s="35">
        <f>28088328.72</f>
        <v>28088328.719999999</v>
      </c>
      <c r="P54" s="35">
        <f>19187549.4</f>
        <v>19187549.399999999</v>
      </c>
      <c r="Q54" s="35">
        <f>8900779.32</f>
        <v>8900779.3200000003</v>
      </c>
    </row>
    <row r="55" spans="1:17" ht="24.75" customHeight="1" x14ac:dyDescent="0.2">
      <c r="A55" s="22" t="s">
        <v>36</v>
      </c>
      <c r="B55" s="26">
        <f>1445358806.69</f>
        <v>1445358806.6900001</v>
      </c>
      <c r="C55" s="26">
        <f>1445052945.17</f>
        <v>1445052945.1700001</v>
      </c>
      <c r="D55" s="26">
        <f>8726673.12</f>
        <v>8726673.1199999992</v>
      </c>
      <c r="E55" s="26">
        <f>1866412.44</f>
        <v>1866412.44</v>
      </c>
      <c r="F55" s="26">
        <f>168583.53</f>
        <v>168583.53</v>
      </c>
      <c r="G55" s="26">
        <f>6474168.22</f>
        <v>6474168.2199999997</v>
      </c>
      <c r="H55" s="26">
        <f>217508.93</f>
        <v>217508.93</v>
      </c>
      <c r="I55" s="26">
        <f>0</f>
        <v>0</v>
      </c>
      <c r="J55" s="26">
        <f>38605.08</f>
        <v>38605.08</v>
      </c>
      <c r="K55" s="26">
        <f>520285.16</f>
        <v>520285.16</v>
      </c>
      <c r="L55" s="26">
        <f>300629242.5</f>
        <v>300629242.5</v>
      </c>
      <c r="M55" s="26">
        <f>1106630381.52</f>
        <v>1106630381.52</v>
      </c>
      <c r="N55" s="26">
        <f>28507757.79</f>
        <v>28507757.789999999</v>
      </c>
      <c r="O55" s="15">
        <f>305861.52</f>
        <v>305861.52</v>
      </c>
      <c r="P55" s="15">
        <f>185957.29</f>
        <v>185957.29</v>
      </c>
      <c r="Q55" s="15">
        <f>119904.23</f>
        <v>119904.23</v>
      </c>
    </row>
    <row r="56" spans="1:17" ht="24.75" customHeight="1" x14ac:dyDescent="0.2">
      <c r="A56" s="23" t="s">
        <v>37</v>
      </c>
      <c r="B56" s="26">
        <f>9383176025.88</f>
        <v>9383176025.8799992</v>
      </c>
      <c r="C56" s="26">
        <f>9355393558.68</f>
        <v>9355393558.6800003</v>
      </c>
      <c r="D56" s="26">
        <f>86141806.2</f>
        <v>86141806.200000003</v>
      </c>
      <c r="E56" s="26">
        <f>54033499.38</f>
        <v>54033499.380000003</v>
      </c>
      <c r="F56" s="26">
        <f>1114481.29</f>
        <v>1114481.29</v>
      </c>
      <c r="G56" s="26">
        <f>30480258.41</f>
        <v>30480258.41</v>
      </c>
      <c r="H56" s="26">
        <f>513567.12</f>
        <v>513567.12</v>
      </c>
      <c r="I56" s="26">
        <f>0</f>
        <v>0</v>
      </c>
      <c r="J56" s="26">
        <f>8621443.33</f>
        <v>8621443.3300000001</v>
      </c>
      <c r="K56" s="26">
        <f>10716317.77</f>
        <v>10716317.77</v>
      </c>
      <c r="L56" s="26">
        <f>2046390071.2</f>
        <v>2046390071.2</v>
      </c>
      <c r="M56" s="26">
        <f>7140996439.09</f>
        <v>7140996439.0900002</v>
      </c>
      <c r="N56" s="26">
        <f>62527481.09</f>
        <v>62527481.090000004</v>
      </c>
      <c r="O56" s="15">
        <f>27782467.2</f>
        <v>27782467.199999999</v>
      </c>
      <c r="P56" s="15">
        <f>19001592.11</f>
        <v>19001592.109999999</v>
      </c>
      <c r="Q56" s="15">
        <f>8780875.09</f>
        <v>8780875.0899999999</v>
      </c>
    </row>
    <row r="57" spans="1:17" ht="24.75" customHeight="1" x14ac:dyDescent="0.2">
      <c r="A57" s="34" t="s">
        <v>45</v>
      </c>
      <c r="B57" s="35">
        <f>9565663646.8</f>
        <v>9565663646.7999992</v>
      </c>
      <c r="C57" s="35">
        <f>9564414240.02</f>
        <v>9564414240.0200005</v>
      </c>
      <c r="D57" s="35">
        <f>712427257.93</f>
        <v>712427257.92999995</v>
      </c>
      <c r="E57" s="35">
        <f>361413019.97</f>
        <v>361413019.97000003</v>
      </c>
      <c r="F57" s="35">
        <f>35147864.27</f>
        <v>35147864.270000003</v>
      </c>
      <c r="G57" s="35">
        <f>310078983.75</f>
        <v>310078983.75</v>
      </c>
      <c r="H57" s="35">
        <f>5787389.94</f>
        <v>5787389.9400000004</v>
      </c>
      <c r="I57" s="35">
        <f>126927</f>
        <v>126927</v>
      </c>
      <c r="J57" s="35">
        <f>5743962.07</f>
        <v>5743962.0700000003</v>
      </c>
      <c r="K57" s="35">
        <f>22059232.3</f>
        <v>22059232.300000001</v>
      </c>
      <c r="L57" s="35">
        <f>5121216421.32</f>
        <v>5121216421.3199997</v>
      </c>
      <c r="M57" s="35">
        <f>3575353266.26</f>
        <v>3575353266.2600002</v>
      </c>
      <c r="N57" s="35">
        <f>127487173.14</f>
        <v>127487173.14</v>
      </c>
      <c r="O57" s="35">
        <f>1249406.78</f>
        <v>1249406.78</v>
      </c>
      <c r="P57" s="35">
        <f>816542.25</f>
        <v>816542.25</v>
      </c>
      <c r="Q57" s="35">
        <f>432864.53</f>
        <v>432864.53</v>
      </c>
    </row>
    <row r="58" spans="1:17" ht="30" customHeight="1" x14ac:dyDescent="0.2">
      <c r="A58" s="22" t="s">
        <v>38</v>
      </c>
      <c r="B58" s="26">
        <f>790662653.6</f>
        <v>790662653.60000002</v>
      </c>
      <c r="C58" s="26">
        <f>790305977.43</f>
        <v>790305977.42999995</v>
      </c>
      <c r="D58" s="26">
        <f>52701318.48</f>
        <v>52701318.479999997</v>
      </c>
      <c r="E58" s="26">
        <f>4208512.24</f>
        <v>4208512.24</v>
      </c>
      <c r="F58" s="26">
        <f>1810697.33</f>
        <v>1810697.33</v>
      </c>
      <c r="G58" s="26">
        <f>45285406.87</f>
        <v>45285406.869999997</v>
      </c>
      <c r="H58" s="26">
        <f>1396702.04</f>
        <v>1396702.04</v>
      </c>
      <c r="I58" s="26">
        <f>0</f>
        <v>0</v>
      </c>
      <c r="J58" s="26">
        <f>389034.95</f>
        <v>389034.95</v>
      </c>
      <c r="K58" s="26">
        <f>1819496.59</f>
        <v>1819496.59</v>
      </c>
      <c r="L58" s="26">
        <f>304311351.93</f>
        <v>304311351.93000001</v>
      </c>
      <c r="M58" s="26">
        <f>421407562.69</f>
        <v>421407562.69</v>
      </c>
      <c r="N58" s="26">
        <f>9677212.79</f>
        <v>9677212.7899999991</v>
      </c>
      <c r="O58" s="15">
        <f>356676.17</f>
        <v>356676.17</v>
      </c>
      <c r="P58" s="15">
        <f>115667.56</f>
        <v>115667.56</v>
      </c>
      <c r="Q58" s="15">
        <f>241008.61</f>
        <v>241008.61</v>
      </c>
    </row>
    <row r="59" spans="1:17" ht="36" x14ac:dyDescent="0.2">
      <c r="A59" s="22" t="s">
        <v>39</v>
      </c>
      <c r="B59" s="26">
        <f>5232755316.4</f>
        <v>5232755316.3999996</v>
      </c>
      <c r="C59" s="26">
        <f>5231917305.51</f>
        <v>5231917305.5100002</v>
      </c>
      <c r="D59" s="26">
        <f>203268995.71</f>
        <v>203268995.71000001</v>
      </c>
      <c r="E59" s="26">
        <f>120052776.63</f>
        <v>120052776.63</v>
      </c>
      <c r="F59" s="26">
        <f>17874604.93</f>
        <v>17874604.93</v>
      </c>
      <c r="G59" s="26">
        <f>63438423.33</f>
        <v>63438423.329999998</v>
      </c>
      <c r="H59" s="26">
        <f>1903190.82</f>
        <v>1903190.82</v>
      </c>
      <c r="I59" s="26">
        <f>126927</f>
        <v>126927</v>
      </c>
      <c r="J59" s="26">
        <f>4357238.99</f>
        <v>4357238.99</v>
      </c>
      <c r="K59" s="26">
        <f>9730617.95</f>
        <v>9730617.9499999993</v>
      </c>
      <c r="L59" s="26">
        <f>3400423366.33</f>
        <v>3400423366.3299999</v>
      </c>
      <c r="M59" s="26">
        <f>1590164982.48</f>
        <v>1590164982.48</v>
      </c>
      <c r="N59" s="26">
        <f>23845177.05</f>
        <v>23845177.050000001</v>
      </c>
      <c r="O59" s="15">
        <f>838010.89</f>
        <v>838010.89</v>
      </c>
      <c r="P59" s="15">
        <f>651660.83</f>
        <v>651660.82999999996</v>
      </c>
      <c r="Q59" s="15">
        <f>186350.06</f>
        <v>186350.06</v>
      </c>
    </row>
    <row r="60" spans="1:17" ht="30.75" customHeight="1" x14ac:dyDescent="0.2">
      <c r="A60" s="22" t="s">
        <v>40</v>
      </c>
      <c r="B60" s="26">
        <f>3542245676.8</f>
        <v>3542245676.8000002</v>
      </c>
      <c r="C60" s="26">
        <f>3542190957.08</f>
        <v>3542190957.0799999</v>
      </c>
      <c r="D60" s="26">
        <f>456456943.74</f>
        <v>456456943.74000001</v>
      </c>
      <c r="E60" s="26">
        <f>237151731.1</f>
        <v>237151731.09999999</v>
      </c>
      <c r="F60" s="26">
        <f>15462562.01</f>
        <v>15462562.01</v>
      </c>
      <c r="G60" s="26">
        <f>201355153.55</f>
        <v>201355153.55000001</v>
      </c>
      <c r="H60" s="26">
        <f>2487497.08</f>
        <v>2487497.08</v>
      </c>
      <c r="I60" s="26">
        <f>0</f>
        <v>0</v>
      </c>
      <c r="J60" s="26">
        <f>997688.13</f>
        <v>997688.13</v>
      </c>
      <c r="K60" s="26">
        <f>10509117.76</f>
        <v>10509117.76</v>
      </c>
      <c r="L60" s="26">
        <f>1416481703.06</f>
        <v>1416481703.0599999</v>
      </c>
      <c r="M60" s="26">
        <f>1563780721.09</f>
        <v>1563780721.0899999</v>
      </c>
      <c r="N60" s="26">
        <f>93964783.3</f>
        <v>93964783.299999997</v>
      </c>
      <c r="O60" s="15">
        <f>54719.72</f>
        <v>54719.72</v>
      </c>
      <c r="P60" s="15">
        <f>49213.86</f>
        <v>49213.86</v>
      </c>
      <c r="Q60" s="15">
        <f>5505.86</f>
        <v>5505.86</v>
      </c>
    </row>
    <row r="77" spans="1:13" ht="75" customHeight="1" x14ac:dyDescent="0.2">
      <c r="A77" s="51" t="str">
        <f>CONCATENATE("Informacja z wykonania budżetów gmin za ",$C$104," ",$B$105," roku   ",$B$107,"")</f>
        <v xml:space="preserve">Informacja z wykonania budżetów gmin za III Kwartały 2024 roku   </v>
      </c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</row>
    <row r="78" spans="1:13" ht="13.5" customHeight="1" x14ac:dyDescent="0.2">
      <c r="B78" s="55" t="s">
        <v>2</v>
      </c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</row>
    <row r="80" spans="1:13" ht="13.5" customHeight="1" x14ac:dyDescent="0.2">
      <c r="B80" s="80" t="s">
        <v>0</v>
      </c>
      <c r="C80" s="81"/>
      <c r="D80" s="81"/>
      <c r="E80" s="82"/>
      <c r="F80" s="90" t="s">
        <v>72</v>
      </c>
      <c r="G80" s="62" t="s">
        <v>78</v>
      </c>
      <c r="H80" s="63"/>
      <c r="I80" s="63"/>
      <c r="J80" s="63"/>
      <c r="K80" s="63"/>
      <c r="L80" s="64"/>
    </row>
    <row r="81" spans="1:13" ht="13.5" customHeight="1" x14ac:dyDescent="0.2">
      <c r="B81" s="83"/>
      <c r="C81" s="84"/>
      <c r="D81" s="84"/>
      <c r="E81" s="85"/>
      <c r="F81" s="91"/>
      <c r="G81" s="93" t="s">
        <v>73</v>
      </c>
      <c r="H81" s="46" t="s">
        <v>70</v>
      </c>
      <c r="I81" s="46" t="s">
        <v>71</v>
      </c>
      <c r="J81" s="46" t="s">
        <v>74</v>
      </c>
      <c r="K81" s="46" t="s">
        <v>75</v>
      </c>
      <c r="L81" s="94" t="s">
        <v>76</v>
      </c>
    </row>
    <row r="82" spans="1:13" ht="13.5" customHeight="1" x14ac:dyDescent="0.2">
      <c r="B82" s="83"/>
      <c r="C82" s="84"/>
      <c r="D82" s="84"/>
      <c r="E82" s="85"/>
      <c r="F82" s="91"/>
      <c r="G82" s="93"/>
      <c r="H82" s="46"/>
      <c r="I82" s="46"/>
      <c r="J82" s="46"/>
      <c r="K82" s="46"/>
      <c r="L82" s="94"/>
    </row>
    <row r="83" spans="1:13" ht="11.25" customHeight="1" x14ac:dyDescent="0.2">
      <c r="B83" s="83"/>
      <c r="C83" s="84"/>
      <c r="D83" s="84"/>
      <c r="E83" s="85"/>
      <c r="F83" s="91"/>
      <c r="G83" s="93"/>
      <c r="H83" s="46"/>
      <c r="I83" s="46"/>
      <c r="J83" s="46"/>
      <c r="K83" s="46"/>
      <c r="L83" s="94"/>
    </row>
    <row r="84" spans="1:13" ht="11.25" customHeight="1" x14ac:dyDescent="0.2">
      <c r="B84" s="86"/>
      <c r="C84" s="87"/>
      <c r="D84" s="87"/>
      <c r="E84" s="88"/>
      <c r="F84" s="92"/>
      <c r="G84" s="93"/>
      <c r="H84" s="46"/>
      <c r="I84" s="46"/>
      <c r="J84" s="46"/>
      <c r="K84" s="46"/>
      <c r="L84" s="94"/>
    </row>
    <row r="85" spans="1:13" ht="11.25" customHeight="1" x14ac:dyDescent="0.2">
      <c r="B85" s="46">
        <v>1</v>
      </c>
      <c r="C85" s="46"/>
      <c r="D85" s="46"/>
      <c r="E85" s="46"/>
      <c r="F85" s="3">
        <v>2</v>
      </c>
      <c r="G85" s="3">
        <v>3</v>
      </c>
      <c r="H85" s="3">
        <v>4</v>
      </c>
      <c r="I85" s="3">
        <v>5</v>
      </c>
      <c r="J85" s="3">
        <v>6</v>
      </c>
      <c r="K85" s="3">
        <v>7</v>
      </c>
      <c r="L85" s="13">
        <v>8</v>
      </c>
    </row>
    <row r="86" spans="1:13" ht="13.5" customHeight="1" x14ac:dyDescent="0.2">
      <c r="B86" s="46"/>
      <c r="C86" s="46"/>
      <c r="D86" s="46"/>
      <c r="E86" s="46"/>
      <c r="F86" s="62" t="s">
        <v>80</v>
      </c>
      <c r="G86" s="38"/>
      <c r="H86" s="38"/>
      <c r="I86" s="38"/>
      <c r="J86" s="38"/>
      <c r="K86" s="38"/>
      <c r="L86" s="39"/>
    </row>
    <row r="87" spans="1:13" ht="33.75" customHeight="1" x14ac:dyDescent="0.2">
      <c r="B87" s="73" t="s">
        <v>57</v>
      </c>
      <c r="C87" s="74"/>
      <c r="D87" s="74"/>
      <c r="E87" s="75"/>
      <c r="F87" s="33">
        <f>1118399438.97</f>
        <v>1118399438.97</v>
      </c>
      <c r="G87" s="33">
        <f>429461782.01</f>
        <v>429461782.00999999</v>
      </c>
      <c r="H87" s="33">
        <f>18743187.39</f>
        <v>18743187.390000001</v>
      </c>
      <c r="I87" s="33">
        <f>141520824.56</f>
        <v>141520824.56</v>
      </c>
      <c r="J87" s="33">
        <f>228490397.54</f>
        <v>228490397.53999999</v>
      </c>
      <c r="K87" s="33">
        <f>40707372.52</f>
        <v>40707372.520000003</v>
      </c>
      <c r="L87" s="33">
        <f>688937656.96</f>
        <v>688937656.96000004</v>
      </c>
    </row>
    <row r="88" spans="1:13" ht="33.75" customHeight="1" x14ac:dyDescent="0.2">
      <c r="B88" s="73" t="s">
        <v>58</v>
      </c>
      <c r="C88" s="74"/>
      <c r="D88" s="74"/>
      <c r="E88" s="75"/>
      <c r="F88" s="33">
        <f>1401409</f>
        <v>1401409</v>
      </c>
      <c r="G88" s="33">
        <f>1401409</f>
        <v>1401409</v>
      </c>
      <c r="H88" s="33">
        <f>0</f>
        <v>0</v>
      </c>
      <c r="I88" s="33">
        <f>0</f>
        <v>0</v>
      </c>
      <c r="J88" s="33">
        <f>1401409</f>
        <v>1401409</v>
      </c>
      <c r="K88" s="33">
        <f>0</f>
        <v>0</v>
      </c>
      <c r="L88" s="33">
        <f>0</f>
        <v>0</v>
      </c>
    </row>
    <row r="89" spans="1:13" ht="33.75" customHeight="1" x14ac:dyDescent="0.2">
      <c r="B89" s="73" t="s">
        <v>59</v>
      </c>
      <c r="C89" s="74"/>
      <c r="D89" s="74"/>
      <c r="E89" s="75"/>
      <c r="F89" s="33">
        <f>138845750.82</f>
        <v>138845750.81999999</v>
      </c>
      <c r="G89" s="33">
        <f>9437933.92</f>
        <v>9437933.9199999999</v>
      </c>
      <c r="H89" s="33">
        <f>47200</f>
        <v>47200</v>
      </c>
      <c r="I89" s="33">
        <f>0</f>
        <v>0</v>
      </c>
      <c r="J89" s="33">
        <f>9281147.88</f>
        <v>9281147.8800000008</v>
      </c>
      <c r="K89" s="33">
        <f>109586.04</f>
        <v>109586.04</v>
      </c>
      <c r="L89" s="33">
        <f>129407816.9</f>
        <v>129407816.90000001</v>
      </c>
    </row>
    <row r="90" spans="1:13" ht="22.5" customHeight="1" x14ac:dyDescent="0.2">
      <c r="B90" s="73" t="s">
        <v>60</v>
      </c>
      <c r="C90" s="74"/>
      <c r="D90" s="74"/>
      <c r="E90" s="75"/>
      <c r="F90" s="33">
        <f>6791968.3</f>
        <v>6791968.2999999998</v>
      </c>
      <c r="G90" s="33">
        <f>0</f>
        <v>0</v>
      </c>
      <c r="H90" s="33">
        <f>0</f>
        <v>0</v>
      </c>
      <c r="I90" s="33">
        <f>0</f>
        <v>0</v>
      </c>
      <c r="J90" s="33">
        <f>0</f>
        <v>0</v>
      </c>
      <c r="K90" s="33">
        <f>0</f>
        <v>0</v>
      </c>
      <c r="L90" s="33">
        <f>6791968.3</f>
        <v>6791968.2999999998</v>
      </c>
    </row>
    <row r="91" spans="1:13" ht="33.75" customHeight="1" x14ac:dyDescent="0.2">
      <c r="B91" s="73" t="s">
        <v>61</v>
      </c>
      <c r="C91" s="74"/>
      <c r="D91" s="74"/>
      <c r="E91" s="75"/>
      <c r="F91" s="33">
        <f>26532.65</f>
        <v>26532.65</v>
      </c>
      <c r="G91" s="33">
        <f>0</f>
        <v>0</v>
      </c>
      <c r="H91" s="33">
        <f>0</f>
        <v>0</v>
      </c>
      <c r="I91" s="33">
        <f>0</f>
        <v>0</v>
      </c>
      <c r="J91" s="33">
        <f>0</f>
        <v>0</v>
      </c>
      <c r="K91" s="33">
        <f>0</f>
        <v>0</v>
      </c>
      <c r="L91" s="33">
        <f>26532.65</f>
        <v>26532.65</v>
      </c>
    </row>
    <row r="92" spans="1:13" ht="33.75" customHeight="1" x14ac:dyDescent="0.2">
      <c r="B92" s="73" t="s">
        <v>62</v>
      </c>
      <c r="C92" s="74"/>
      <c r="D92" s="74"/>
      <c r="E92" s="75"/>
      <c r="F92" s="33">
        <f>885492.54</f>
        <v>885492.54</v>
      </c>
      <c r="G92" s="33">
        <f>0</f>
        <v>0</v>
      </c>
      <c r="H92" s="33">
        <f>0</f>
        <v>0</v>
      </c>
      <c r="I92" s="33">
        <f>0</f>
        <v>0</v>
      </c>
      <c r="J92" s="33">
        <f>0</f>
        <v>0</v>
      </c>
      <c r="K92" s="33">
        <f>0</f>
        <v>0</v>
      </c>
      <c r="L92" s="33">
        <f>885492.54</f>
        <v>885492.54</v>
      </c>
    </row>
    <row r="93" spans="1:13" ht="22.5" customHeight="1" x14ac:dyDescent="0.2">
      <c r="B93" s="73" t="s">
        <v>63</v>
      </c>
      <c r="C93" s="74"/>
      <c r="D93" s="74"/>
      <c r="E93" s="75"/>
      <c r="F93" s="33">
        <f>90000</f>
        <v>90000</v>
      </c>
      <c r="G93" s="33">
        <f>0</f>
        <v>0</v>
      </c>
      <c r="H93" s="33">
        <f>0</f>
        <v>0</v>
      </c>
      <c r="I93" s="33">
        <f>0</f>
        <v>0</v>
      </c>
      <c r="J93" s="33">
        <f>0</f>
        <v>0</v>
      </c>
      <c r="K93" s="33">
        <f>0</f>
        <v>0</v>
      </c>
      <c r="L93" s="33">
        <f>90000</f>
        <v>90000</v>
      </c>
    </row>
    <row r="96" spans="1:13" ht="75" customHeight="1" x14ac:dyDescent="0.2">
      <c r="A96" s="51" t="str">
        <f>CONCATENATE("Informacja z wykonania budżetów gmin za ",$C$104," ",$B$105," roku   ",$B$107,"")</f>
        <v xml:space="preserve">Informacja z wykonania budżetów gmin za III Kwartały 2024 roku   </v>
      </c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</row>
    <row r="97" spans="1:11" ht="13.5" customHeight="1" x14ac:dyDescent="0.2">
      <c r="B97" s="4"/>
    </row>
    <row r="98" spans="1:11" ht="13.5" customHeight="1" x14ac:dyDescent="0.2">
      <c r="B98" s="5"/>
      <c r="C98" s="62"/>
      <c r="D98" s="63"/>
      <c r="E98" s="63"/>
      <c r="F98" s="64"/>
      <c r="G98" s="62" t="s">
        <v>3</v>
      </c>
      <c r="H98" s="64"/>
      <c r="I98" s="62" t="s">
        <v>4</v>
      </c>
      <c r="J98" s="64"/>
      <c r="K98" s="5"/>
    </row>
    <row r="99" spans="1:11" ht="13.5" customHeight="1" x14ac:dyDescent="0.2">
      <c r="B99" s="6"/>
      <c r="C99" s="70" t="s">
        <v>5</v>
      </c>
      <c r="D99" s="71"/>
      <c r="E99" s="71"/>
      <c r="F99" s="72"/>
      <c r="G99" s="66">
        <f>1617</f>
        <v>1617</v>
      </c>
      <c r="H99" s="67"/>
      <c r="I99" s="68">
        <f>8277766128.97</f>
        <v>8277766128.9700003</v>
      </c>
      <c r="J99" s="69"/>
      <c r="K99" s="7"/>
    </row>
    <row r="100" spans="1:11" ht="13.5" customHeight="1" x14ac:dyDescent="0.2">
      <c r="B100" s="6"/>
      <c r="C100" s="73" t="s">
        <v>6</v>
      </c>
      <c r="D100" s="74"/>
      <c r="E100" s="74"/>
      <c r="F100" s="75"/>
      <c r="G100" s="76">
        <f>794</f>
        <v>794</v>
      </c>
      <c r="H100" s="77"/>
      <c r="I100" s="78">
        <f>-2519792832.55</f>
        <v>-2519792832.5500002</v>
      </c>
      <c r="J100" s="79"/>
      <c r="K100" s="7"/>
    </row>
    <row r="101" spans="1:11" ht="13.5" customHeight="1" x14ac:dyDescent="0.2">
      <c r="B101" s="6"/>
      <c r="C101" s="70" t="s">
        <v>7</v>
      </c>
      <c r="D101" s="71"/>
      <c r="E101" s="71"/>
      <c r="F101" s="72"/>
      <c r="G101" s="66">
        <f>0</f>
        <v>0</v>
      </c>
      <c r="H101" s="67"/>
      <c r="I101" s="68">
        <f>0</f>
        <v>0</v>
      </c>
      <c r="J101" s="69"/>
      <c r="K101" s="7"/>
    </row>
    <row r="104" spans="1:11" ht="13.5" customHeight="1" x14ac:dyDescent="0.2">
      <c r="A104" s="8" t="s">
        <v>8</v>
      </c>
      <c r="B104" s="8">
        <f>3</f>
        <v>3</v>
      </c>
      <c r="C104" s="8" t="str">
        <f>IF(B104=1,"I Kwartał",IF(B104=2,"II Kwartały",IF(B104=3,"III Kwartały",IF(B104=4,"IV Kwartały","-"))))</f>
        <v>III Kwartały</v>
      </c>
    </row>
    <row r="105" spans="1:11" ht="13.5" customHeight="1" x14ac:dyDescent="0.2">
      <c r="A105" s="8" t="s">
        <v>9</v>
      </c>
      <c r="B105" s="8">
        <f>2024</f>
        <v>2024</v>
      </c>
      <c r="C105" s="9"/>
    </row>
    <row r="106" spans="1:11" ht="13.5" customHeight="1" x14ac:dyDescent="0.2">
      <c r="A106" s="8" t="s">
        <v>10</v>
      </c>
      <c r="B106" s="10" t="str">
        <f>"Nov 14 2024 12:00AM"</f>
        <v>Nov 14 2024 12:00AM</v>
      </c>
      <c r="C106" s="9"/>
    </row>
    <row r="107" spans="1:11" ht="13.5" customHeight="1" x14ac:dyDescent="0.2">
      <c r="A107" s="16" t="s">
        <v>79</v>
      </c>
      <c r="B107" s="10" t="str">
        <f>""</f>
        <v/>
      </c>
    </row>
  </sheetData>
  <mergeCells count="79">
    <mergeCell ref="O6:Q6"/>
    <mergeCell ref="O7:O10"/>
    <mergeCell ref="A77:M77"/>
    <mergeCell ref="L39:L41"/>
    <mergeCell ref="P39:P41"/>
    <mergeCell ref="Q39:Q41"/>
    <mergeCell ref="B86:E86"/>
    <mergeCell ref="B80:E84"/>
    <mergeCell ref="B93:E93"/>
    <mergeCell ref="A96:M96"/>
    <mergeCell ref="B89:E89"/>
    <mergeCell ref="B90:E90"/>
    <mergeCell ref="B91:E91"/>
    <mergeCell ref="B92:E92"/>
    <mergeCell ref="B88:E88"/>
    <mergeCell ref="B87:E87"/>
    <mergeCell ref="F80:F84"/>
    <mergeCell ref="G81:G84"/>
    <mergeCell ref="B85:E85"/>
    <mergeCell ref="F86:L86"/>
    <mergeCell ref="L81:L84"/>
    <mergeCell ref="G101:H101"/>
    <mergeCell ref="I101:J101"/>
    <mergeCell ref="C98:F98"/>
    <mergeCell ref="C99:F99"/>
    <mergeCell ref="C100:F100"/>
    <mergeCell ref="C101:F101"/>
    <mergeCell ref="G99:H99"/>
    <mergeCell ref="G98:H98"/>
    <mergeCell ref="G100:H100"/>
    <mergeCell ref="I100:J100"/>
    <mergeCell ref="I99:J99"/>
    <mergeCell ref="I98:J98"/>
    <mergeCell ref="A1:M1"/>
    <mergeCell ref="C5:M5"/>
    <mergeCell ref="A3:M3"/>
    <mergeCell ref="K7:K10"/>
    <mergeCell ref="C7:C10"/>
    <mergeCell ref="H7:H10"/>
    <mergeCell ref="I7:I10"/>
    <mergeCell ref="J7:J10"/>
    <mergeCell ref="G80:L80"/>
    <mergeCell ref="H81:H84"/>
    <mergeCell ref="I81:I84"/>
    <mergeCell ref="J81:J84"/>
    <mergeCell ref="B78:M78"/>
    <mergeCell ref="D39:D41"/>
    <mergeCell ref="M39:M41"/>
    <mergeCell ref="B43:Q43"/>
    <mergeCell ref="Q7:Q10"/>
    <mergeCell ref="C38:N38"/>
    <mergeCell ref="L7:L10"/>
    <mergeCell ref="M7:M10"/>
    <mergeCell ref="N7:N10"/>
    <mergeCell ref="P7:P10"/>
    <mergeCell ref="A34:M34"/>
    <mergeCell ref="O38:Q38"/>
    <mergeCell ref="A36:M36"/>
    <mergeCell ref="B6:B10"/>
    <mergeCell ref="A6:A10"/>
    <mergeCell ref="C6:N6"/>
    <mergeCell ref="D7:D10"/>
    <mergeCell ref="E7:E10"/>
    <mergeCell ref="G7:G10"/>
    <mergeCell ref="F7:F10"/>
    <mergeCell ref="B12:Q12"/>
    <mergeCell ref="A38:A41"/>
    <mergeCell ref="C39:C41"/>
    <mergeCell ref="E39:E41"/>
    <mergeCell ref="K81:K84"/>
    <mergeCell ref="F39:F41"/>
    <mergeCell ref="G39:G41"/>
    <mergeCell ref="H39:H41"/>
    <mergeCell ref="K39:K41"/>
    <mergeCell ref="I39:I41"/>
    <mergeCell ref="J39:J41"/>
    <mergeCell ref="B38:B41"/>
    <mergeCell ref="N39:N41"/>
    <mergeCell ref="O39:O41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33" max="16383" man="1"/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2016-08-26T11:23:29Z</cp:lastPrinted>
  <dcterms:created xsi:type="dcterms:W3CDTF">2001-05-17T08:58:03Z</dcterms:created>
  <dcterms:modified xsi:type="dcterms:W3CDTF">2024-12-09T09:11:02Z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2024-12-09T10:11:00.8955719+01:00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GRN-69f3ac65-c262-41dc-bab7-8bac1b4ef854</vt:lpwstr>
  </property>
  <property fmtid="{D5CDD505-2E9C-101B-9397-08002B2CF9AE}" pid="7" name="MFHash">
    <vt:lpwstr>JGTc3RCoRnMHygDxjDqyE48U4y+1qiRLDi6+KOJ0Ki8=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