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doch_wyd!$A$1:$L$98</definedName>
  </definedNames>
  <calcPr calcId="152511"/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J73" i="4" s="1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C59" i="4"/>
  <c r="C38" i="4"/>
  <c r="K6" i="4"/>
  <c r="K9" i="4"/>
  <c r="K11" i="4"/>
  <c r="K16" i="4"/>
  <c r="K18" i="4"/>
  <c r="K20" i="4"/>
  <c r="K22" i="4"/>
  <c r="K24" i="4"/>
  <c r="K26" i="4"/>
  <c r="K28" i="4"/>
  <c r="K30" i="4"/>
  <c r="K32" i="4"/>
  <c r="K34" i="4"/>
  <c r="K36" i="4"/>
  <c r="C52" i="4"/>
  <c r="K49" i="4"/>
  <c r="G52" i="4"/>
  <c r="G58" i="4"/>
  <c r="K54" i="4"/>
  <c r="K65" i="4"/>
  <c r="K67" i="4"/>
  <c r="K69" i="4"/>
  <c r="K71" i="4"/>
  <c r="J21" i="4"/>
  <c r="J34" i="4"/>
  <c r="J33" i="4"/>
  <c r="J35" i="4"/>
  <c r="J15" i="4"/>
  <c r="J20" i="4"/>
  <c r="D59" i="4"/>
  <c r="J25" i="4"/>
  <c r="J26" i="4"/>
  <c r="J39" i="4"/>
  <c r="J32" i="4"/>
  <c r="J6" i="4"/>
  <c r="J18" i="4"/>
  <c r="J24" i="4"/>
  <c r="J23" i="4"/>
  <c r="J27" i="4"/>
  <c r="J31" i="4"/>
  <c r="J16" i="4"/>
  <c r="J22" i="4"/>
  <c r="J36" i="4"/>
  <c r="J11" i="4"/>
  <c r="J28" i="4"/>
  <c r="J10" i="4"/>
  <c r="J17" i="4"/>
  <c r="J30" i="4"/>
  <c r="J19" i="4"/>
  <c r="J29" i="4"/>
  <c r="J8" i="4"/>
  <c r="D38" i="4"/>
  <c r="D40" i="4" s="1"/>
  <c r="J40" i="4" s="1"/>
  <c r="J9" i="4"/>
  <c r="J51" i="4"/>
  <c r="J53" i="4"/>
  <c r="J50" i="4"/>
  <c r="J54" i="4"/>
  <c r="J55" i="4"/>
  <c r="D52" i="4"/>
  <c r="D58" i="4" s="1"/>
  <c r="J58" i="4" s="1"/>
  <c r="J49" i="4"/>
  <c r="J57" i="4"/>
  <c r="J56" i="4"/>
  <c r="H52" i="4"/>
  <c r="H58" i="4" s="1"/>
  <c r="K53" i="4"/>
  <c r="K57" i="4"/>
  <c r="J69" i="4"/>
  <c r="J72" i="4"/>
  <c r="J71" i="4"/>
  <c r="J74" i="4"/>
  <c r="J67" i="4"/>
  <c r="J68" i="4"/>
  <c r="J70" i="4"/>
  <c r="J75" i="4"/>
  <c r="J65" i="4"/>
  <c r="J66" i="4"/>
  <c r="K74" i="4"/>
  <c r="K76" i="4"/>
  <c r="K78" i="4"/>
  <c r="K80" i="4"/>
  <c r="K8" i="4"/>
  <c r="K10" i="4"/>
  <c r="K15" i="4"/>
  <c r="C14" i="4"/>
  <c r="C13" i="4" s="1"/>
  <c r="K17" i="4"/>
  <c r="K19" i="4"/>
  <c r="K21" i="4"/>
  <c r="K23" i="4"/>
  <c r="K25" i="4"/>
  <c r="K27" i="4"/>
  <c r="K29" i="4"/>
  <c r="K31" i="4"/>
  <c r="K33" i="4"/>
  <c r="K35" i="4"/>
  <c r="K39" i="4"/>
  <c r="E52" i="4"/>
  <c r="E58" i="4" s="1"/>
  <c r="I52" i="4"/>
  <c r="I58" i="4" s="1"/>
  <c r="K51" i="4"/>
  <c r="K56" i="4"/>
  <c r="K66" i="4"/>
  <c r="K68" i="4"/>
  <c r="K70" i="4"/>
  <c r="K72" i="4"/>
  <c r="J79" i="4"/>
  <c r="J76" i="4"/>
  <c r="J81" i="4"/>
  <c r="J80" i="4"/>
  <c r="J77" i="4"/>
  <c r="J78" i="4"/>
  <c r="D96" i="4"/>
  <c r="D14" i="4"/>
  <c r="D13" i="4" s="1"/>
  <c r="D7" i="4" s="1"/>
  <c r="F52" i="4"/>
  <c r="F58" i="4"/>
  <c r="K50" i="4"/>
  <c r="K55" i="4"/>
  <c r="K75" i="4"/>
  <c r="K77" i="4"/>
  <c r="K79" i="4"/>
  <c r="K81" i="4"/>
  <c r="C58" i="4"/>
  <c r="C40" i="4"/>
  <c r="J52" i="4" l="1"/>
  <c r="K58" i="4"/>
  <c r="K52" i="4"/>
  <c r="J14" i="4"/>
  <c r="K14" i="4"/>
  <c r="L10" i="4"/>
  <c r="L7" i="4"/>
  <c r="L8" i="4"/>
  <c r="J7" i="4"/>
  <c r="D12" i="4"/>
  <c r="J12" i="4" s="1"/>
  <c r="L9" i="4"/>
  <c r="L11" i="4"/>
  <c r="J13" i="4"/>
  <c r="K13" i="4"/>
  <c r="C7" i="4"/>
  <c r="L12" i="4"/>
  <c r="K40" i="4"/>
  <c r="K38" i="4"/>
  <c r="J38" i="4"/>
  <c r="K7" i="4" l="1"/>
  <c r="C12" i="4"/>
  <c r="K12" i="4" s="1"/>
</calcChain>
</file>

<file path=xl/sharedStrings.xml><?xml version="1.0" encoding="utf-8"?>
<sst xmlns="http://schemas.openxmlformats.org/spreadsheetml/2006/main" count="375" uniqueCount="97">
  <si>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</si>
  <si>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</si>
  <si>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</si>
  <si>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</si>
  <si>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</si>
  <si>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</si>
  <si>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</si>
  <si>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</si>
  <si>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</si>
  <si>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</si>
  <si>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</si>
  <si>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</si>
  <si>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</si>
  <si>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</si>
  <si>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</si>
  <si>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</si>
  <si>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</si>
  <si>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</si>
  <si>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</si>
  <si>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</si>
  <si>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</si>
  <si>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</si>
  <si>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</si>
  <si>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</si>
  <si>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</si>
  <si>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</si>
  <si>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</si>
  <si>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</si>
  <si>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</si>
  <si>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</si>
  <si>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</si>
  <si>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</si>
  <si>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</si>
  <si>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</si>
  <si>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</si>
  <si>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</si>
  <si>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</si>
  <si>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</si>
  <si>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</si>
  <si>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</si>
  <si>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</si>
  <si>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</si>
  <si>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</si>
  <si>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</si>
  <si>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</si>
  <si>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</si>
  <si>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</si>
  <si>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</si>
  <si>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</si>
  <si>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</si>
  <si>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</si>
  <si>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</si>
  <si>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</si>
  <si>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</si>
  <si>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</si>
  <si>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</si>
  <si>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</si>
  <si>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</si>
  <si>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</si>
  <si>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</si>
  <si>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</si>
  <si>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</si>
  <si>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</si>
  <si>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</si>
  <si>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</si>
  <si>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</si>
  <si>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</si>
  <si>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</si>
  <si>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</si>
  <si>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</si>
  <si>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</si>
  <si>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</si>
  <si>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</si>
  <si>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</si>
  <si>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</si>
  <si>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</si>
  <si>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</si>
  <si>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</si>
  <si>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</si>
  <si>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</si>
  <si>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</si>
  <si>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</si>
  <si>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</si>
  <si>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</si>
  <si>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</si>
  <si>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</si>
  <si>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</si>
  <si>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</si>
  <si>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</si>
  <si>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</si>
  <si>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</si>
  <si>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</si>
  <si>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</si>
  <si>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</si>
  <si>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</si>
  <si>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</si>
  <si>
    <t>Informacja z wykonania budżetów związków jednostek samorządu terytorialnego za I Kwartał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</si>
</sst>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4" fontId="10" fillId="2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4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4" fontId="9" fillId="21" borderId="10" xfId="28" applyNumberFormat="1" applyFont="1" applyFill="1" applyBorder="1" applyAlignment="1">
      <alignment horizontal="right" vertical="center"/>
    </xf>
    <xf numFmtId="164" fontId="9" fillId="21" borderId="10" xfId="0" applyNumberFormat="1" applyFont="1" applyFill="1" applyBorder="1" applyAlignment="1">
      <alignment horizontal="right" vertical="center"/>
    </xf>
    <xf numFmtId="164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4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4" fontId="9" fillId="0" borderId="10" xfId="28" applyNumberFormat="1" applyFont="1" applyFill="1" applyBorder="1" applyAlignment="1">
      <alignment horizontal="right" vertical="center"/>
    </xf>
    <xf numFmtId="164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165" fontId="7" fillId="0" borderId="1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9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">
        <v>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1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31"/>
      <c r="C4" s="138" t="s">
        <v>40</v>
      </c>
      <c r="D4" s="140"/>
      <c r="E4" s="149" t="s">
        <v>79</v>
      </c>
      <c r="F4" s="150"/>
      <c r="G4" s="150"/>
      <c r="H4" s="150"/>
      <c r="I4" s="151"/>
      <c r="J4" s="138" t="s">
        <v>4</v>
      </c>
      <c r="K4" s="139"/>
      <c r="L4" s="140"/>
    </row>
    <row r="5" spans="2:12" x14ac:dyDescent="0.2">
      <c r="B5" s="41">
        <v>1</v>
      </c>
      <c r="C5" s="40">
        <v>2</v>
      </c>
      <c r="D5" s="40">
        <v>3</v>
      </c>
      <c r="E5" s="152"/>
      <c r="F5" s="153"/>
      <c r="G5" s="153"/>
      <c r="H5" s="153"/>
      <c r="I5" s="154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4103513667.42</f>
        <v>4103513667.4200001</v>
      </c>
      <c r="D6" s="51">
        <f>898783312.88</f>
        <v>898783312.88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21.902773713559764</v>
      </c>
      <c r="L6" s="52"/>
    </row>
    <row r="7" spans="2:12" ht="27" customHeight="1" x14ac:dyDescent="0.2">
      <c r="B7" s="94" t="s">
        <v>27</v>
      </c>
      <c r="C7" s="15">
        <f>C6-C13</f>
        <v>3548430323.27</v>
      </c>
      <c r="D7" s="15">
        <f>D6-D13</f>
        <v>859263491.02999997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95.6029644427459</v>
      </c>
      <c r="K7" s="19">
        <f t="shared" si="1"/>
        <v>24.215312483243558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375699286</f>
        <v>375699286</v>
      </c>
      <c r="D8" s="54">
        <f>93924819</f>
        <v>93924819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10.450218384566321</v>
      </c>
      <c r="K8" s="20">
        <f t="shared" si="1"/>
        <v>24.999999334574195</v>
      </c>
      <c r="L8" s="20">
        <f t="shared" si="2"/>
        <v>10.93085182606935</v>
      </c>
    </row>
    <row r="9" spans="2:12" ht="22.5" outlineLevel="1" x14ac:dyDescent="0.2">
      <c r="B9" s="56" t="s">
        <v>68</v>
      </c>
      <c r="C9" s="53">
        <f>1071661561.63</f>
        <v>1071661561.63</v>
      </c>
      <c r="D9" s="54">
        <f>255149744.09</f>
        <v>255149744.09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28.388349052945316</v>
      </c>
      <c r="K9" s="20">
        <f t="shared" si="1"/>
        <v>23.808798712712676</v>
      </c>
      <c r="L9" s="20">
        <f t="shared" si="2"/>
        <v>29.694005011681778</v>
      </c>
    </row>
    <row r="10" spans="2:12" ht="33.75" outlineLevel="1" x14ac:dyDescent="0.2">
      <c r="B10" s="56" t="s">
        <v>85</v>
      </c>
      <c r="C10" s="53">
        <f>868313806.51</f>
        <v>868313806.50999999</v>
      </c>
      <c r="D10" s="54">
        <f>225914353.51</f>
        <v>225914353.50999999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25.135574979256727</v>
      </c>
      <c r="K10" s="20">
        <f t="shared" si="1"/>
        <v>26.017593157710344</v>
      </c>
      <c r="L10" s="20">
        <f t="shared" si="2"/>
        <v>26.291627174709383</v>
      </c>
    </row>
    <row r="11" spans="2:12" ht="12.75" customHeight="1" outlineLevel="1" x14ac:dyDescent="0.2">
      <c r="B11" s="56" t="s">
        <v>19</v>
      </c>
      <c r="C11" s="53">
        <f>90362564.52</f>
        <v>90362564.519999996</v>
      </c>
      <c r="D11" s="54">
        <f>19966074.04</f>
        <v>19966074.039999999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2.2214558007337799</v>
      </c>
      <c r="K11" s="20">
        <f t="shared" si="1"/>
        <v>22.095515046588677</v>
      </c>
      <c r="L11" s="20">
        <f t="shared" si="2"/>
        <v>2.3236264834278773</v>
      </c>
    </row>
    <row r="12" spans="2:12" ht="12.75" customHeight="1" outlineLevel="1" x14ac:dyDescent="0.2">
      <c r="B12" s="56" t="s">
        <v>20</v>
      </c>
      <c r="C12" s="53">
        <f>C7-SUM(C8:C11)</f>
        <v>1142393104.6099997</v>
      </c>
      <c r="D12" s="53">
        <f>D7-SUM(D8:D11)</f>
        <v>264308500.38999999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29.407366225243752</v>
      </c>
      <c r="K12" s="20">
        <f t="shared" si="1"/>
        <v>23.136387931913507</v>
      </c>
      <c r="L12" s="20">
        <f t="shared" si="2"/>
        <v>30.759889504111612</v>
      </c>
    </row>
    <row r="13" spans="2:12" ht="27" customHeight="1" x14ac:dyDescent="0.2">
      <c r="B13" s="95" t="s">
        <v>59</v>
      </c>
      <c r="C13" s="51">
        <f>C14+C33+C35</f>
        <v>555083344.14999998</v>
      </c>
      <c r="D13" s="51">
        <f>D14+D33+D35</f>
        <v>39519821.849999994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4.3970355572541031</v>
      </c>
      <c r="K13" s="52">
        <f t="shared" si="1"/>
        <v>7.1196194709313003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316749149.99000001</v>
      </c>
      <c r="D14" s="51">
        <f>D15+D17+D19+D21+D23+D25+D27+D29+D31</f>
        <v>17228549.609999999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1.9168746641272199</v>
      </c>
      <c r="K14" s="52">
        <f t="shared" si="1"/>
        <v>5.4391778511620057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8690000</f>
        <v>8690000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>
        <f t="shared" si="1"/>
        <v>0</v>
      </c>
      <c r="L17" s="17"/>
    </row>
    <row r="18" spans="2:12" ht="12.75" customHeight="1" outlineLevel="1" x14ac:dyDescent="0.2">
      <c r="B18" s="98" t="s">
        <v>6</v>
      </c>
      <c r="C18" s="53">
        <f>8690000</f>
        <v>8690000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>
        <f t="shared" si="1"/>
        <v>0</v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35373087</f>
        <v>35373087</v>
      </c>
      <c r="D21" s="53">
        <f>5665801.08</f>
        <v>5665801.0800000001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0.6303856556754367</v>
      </c>
      <c r="K21" s="20">
        <f t="shared" si="1"/>
        <v>16.017264990188728</v>
      </c>
      <c r="L21" s="17"/>
    </row>
    <row r="22" spans="2:12" ht="12.75" customHeight="1" outlineLevel="1" x14ac:dyDescent="0.2">
      <c r="B22" s="98" t="s">
        <v>6</v>
      </c>
      <c r="C22" s="53">
        <f>352115</f>
        <v>352115</v>
      </c>
      <c r="D22" s="53">
        <f>0</f>
        <v>0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0</v>
      </c>
      <c r="K22" s="20">
        <f t="shared" si="1"/>
        <v>0</v>
      </c>
      <c r="L22" s="17"/>
    </row>
    <row r="23" spans="2:12" ht="34.5" customHeight="1" outlineLevel="1" x14ac:dyDescent="0.2">
      <c r="B23" s="99" t="s">
        <v>41</v>
      </c>
      <c r="C23" s="53">
        <f>5394166.92</f>
        <v>5394166.9199999999</v>
      </c>
      <c r="D23" s="53">
        <f>1065375.18</f>
        <v>1065375.18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0.11853526481106824</v>
      </c>
      <c r="K23" s="20">
        <f t="shared" si="1"/>
        <v>19.75050449495545</v>
      </c>
      <c r="L23" s="17"/>
    </row>
    <row r="24" spans="2:12" ht="12.75" customHeight="1" outlineLevel="1" x14ac:dyDescent="0.2">
      <c r="B24" s="98" t="s">
        <v>6</v>
      </c>
      <c r="C24" s="53">
        <f>4895659.92</f>
        <v>4895659.92</v>
      </c>
      <c r="D24" s="53">
        <f>1000000</f>
        <v>1000000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0.11126152273518165</v>
      </c>
      <c r="K24" s="20">
        <f t="shared" si="1"/>
        <v>20.426255425029606</v>
      </c>
      <c r="L24" s="17"/>
    </row>
    <row r="25" spans="2:12" ht="12.75" customHeight="1" outlineLevel="1" x14ac:dyDescent="0.2">
      <c r="B25" s="96" t="s">
        <v>8</v>
      </c>
      <c r="C25" s="53">
        <f>821220.6</f>
        <v>821220.6</v>
      </c>
      <c r="D25" s="53">
        <f>0</f>
        <v>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0</v>
      </c>
      <c r="K25" s="20">
        <f t="shared" si="1"/>
        <v>0</v>
      </c>
      <c r="L25" s="17"/>
    </row>
    <row r="26" spans="2:12" ht="12.75" customHeight="1" outlineLevel="1" x14ac:dyDescent="0.2">
      <c r="B26" s="98" t="s">
        <v>6</v>
      </c>
      <c r="C26" s="53">
        <f>321820</f>
        <v>321820</v>
      </c>
      <c r="D26" s="53">
        <f>0</f>
        <v>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0</v>
      </c>
      <c r="K26" s="20">
        <f t="shared" si="1"/>
        <v>0</v>
      </c>
      <c r="L26" s="17"/>
    </row>
    <row r="27" spans="2:12" ht="67.5" outlineLevel="1" x14ac:dyDescent="0.2">
      <c r="B27" s="100" t="s">
        <v>70</v>
      </c>
      <c r="C27" s="53">
        <f>0</f>
        <v>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 t="str">
        <f t="shared" si="1"/>
        <v/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266470675.47</f>
        <v>266470675.47</v>
      </c>
      <c r="D29" s="53">
        <f>10497373.35</f>
        <v>10497373.35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1.167953743640715</v>
      </c>
      <c r="K29" s="66">
        <f t="shared" si="1"/>
        <v>3.9394103428021756</v>
      </c>
      <c r="L29" s="17"/>
    </row>
    <row r="30" spans="2:12" ht="12.75" customHeight="1" outlineLevel="1" x14ac:dyDescent="0.2">
      <c r="B30" s="98" t="s">
        <v>6</v>
      </c>
      <c r="C30" s="53">
        <f>266470675.47</f>
        <v>266470675.47</v>
      </c>
      <c r="D30" s="53">
        <f>10497373.35</f>
        <v>10497373.35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1.167953743640715</v>
      </c>
      <c r="K30" s="20">
        <f t="shared" si="1"/>
        <v>3.9394103428021756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1744070.82</f>
        <v>1744070.82</v>
      </c>
      <c r="D33" s="53">
        <f>982377</f>
        <v>982377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0.10930076092001954</v>
      </c>
      <c r="K33" s="19">
        <f t="shared" si="1"/>
        <v>56.326669120007409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1127543.3</f>
        <v>1127543.3</v>
      </c>
      <c r="D34" s="53">
        <f>982377</f>
        <v>982377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0.10930076092001954</v>
      </c>
      <c r="K34" s="20">
        <f t="shared" si="1"/>
        <v>87.125434562025248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236590123.34</f>
        <v>236590123.34</v>
      </c>
      <c r="D35" s="53">
        <f>21308895.24</f>
        <v>21308895.239999998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2.3708601322068636</v>
      </c>
      <c r="K35" s="57">
        <f t="shared" si="1"/>
        <v>9.0066715123933196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225903160.78</f>
        <v>225903160.78</v>
      </c>
      <c r="D36" s="53">
        <f>21122446.41</f>
        <v>21122446.41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2.3501155514688712</v>
      </c>
      <c r="K36" s="20">
        <f t="shared" si="1"/>
        <v>9.350221722028266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4103513667.4200001</v>
      </c>
      <c r="D38" s="51">
        <f>+D6</f>
        <v>898783312.88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21.902773713559764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646225509.06</f>
        <v>646225509.05999994</v>
      </c>
      <c r="D39" s="14">
        <f>52086962.36</f>
        <v>52086962.359999999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5.7952747468236909</v>
      </c>
      <c r="K39" s="20">
        <f t="shared" si="1"/>
        <v>8.0601835782938576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3457288158.3600001</v>
      </c>
      <c r="D40" s="14">
        <f>D38-D39</f>
        <v>846696350.51999998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94.204725253176306</v>
      </c>
      <c r="K40" s="20">
        <f t="shared" si="1"/>
        <v>24.490187445689777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">
        <v>96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1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32" t="s">
        <v>53</v>
      </c>
      <c r="J44" s="135" t="s">
        <v>2</v>
      </c>
      <c r="K44" s="130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1"/>
      <c r="C45" s="135"/>
      <c r="D45" s="135"/>
      <c r="E45" s="142"/>
      <c r="F45" s="145" t="s">
        <v>54</v>
      </c>
      <c r="G45" s="144" t="s">
        <v>23</v>
      </c>
      <c r="H45" s="142"/>
      <c r="I45" s="133"/>
      <c r="J45" s="135"/>
      <c r="K45" s="130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1"/>
      <c r="C46" s="135"/>
      <c r="D46" s="135"/>
      <c r="E46" s="142"/>
      <c r="F46" s="142"/>
      <c r="G46" s="38" t="s">
        <v>55</v>
      </c>
      <c r="H46" s="38" t="s">
        <v>56</v>
      </c>
      <c r="I46" s="134"/>
      <c r="J46" s="135"/>
      <c r="K46" s="130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1"/>
      <c r="C47" s="138" t="s">
        <v>40</v>
      </c>
      <c r="D47" s="139"/>
      <c r="E47" s="139"/>
      <c r="F47" s="139"/>
      <c r="G47" s="139"/>
      <c r="H47" s="139"/>
      <c r="I47" s="140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4738397299.39</f>
        <v>4738397299.3900003</v>
      </c>
      <c r="D49" s="68">
        <f>838053189.01</f>
        <v>838053189.00999999</v>
      </c>
      <c r="E49" s="68">
        <f>1993158532.91</f>
        <v>1993158532.9100001</v>
      </c>
      <c r="F49" s="58">
        <f>223193798.87</f>
        <v>223193798.87</v>
      </c>
      <c r="G49" s="58">
        <f>0</f>
        <v>0</v>
      </c>
      <c r="H49" s="58">
        <f>375</f>
        <v>375</v>
      </c>
      <c r="I49" s="77">
        <f>0</f>
        <v>0</v>
      </c>
      <c r="J49" s="34">
        <f>IF($D$49=0,"",100*$D49/$D$49)</f>
        <v>100</v>
      </c>
      <c r="K49" s="34">
        <f>IF(C49=0,"",100*D49/C49)</f>
        <v>17.68642720436058</v>
      </c>
      <c r="L49" s="22"/>
      <c r="M49" s="74"/>
    </row>
    <row r="50" spans="2:16" x14ac:dyDescent="0.2">
      <c r="B50" s="94" t="s">
        <v>14</v>
      </c>
      <c r="C50" s="16">
        <f>1082055152.27</f>
        <v>1082055152.27</v>
      </c>
      <c r="D50" s="16">
        <f>90929648.04</f>
        <v>90929648.040000007</v>
      </c>
      <c r="E50" s="16">
        <f>415850692.7</f>
        <v>415850692.69999999</v>
      </c>
      <c r="F50" s="16">
        <f>28263490.26</f>
        <v>28263490.260000002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10.850104651163733</v>
      </c>
      <c r="K50" s="34">
        <f t="shared" ref="K50:K58" si="4">IF(C50=0,"",100*D50/C50)</f>
        <v>8.4034208283415452</v>
      </c>
      <c r="L50" s="22"/>
      <c r="M50" s="76"/>
    </row>
    <row r="51" spans="2:16" ht="12.75" customHeight="1" outlineLevel="1" x14ac:dyDescent="0.2">
      <c r="B51" s="56" t="s">
        <v>13</v>
      </c>
      <c r="C51" s="53">
        <f>1050897387.33</f>
        <v>1050897387.33</v>
      </c>
      <c r="D51" s="53">
        <f>88719648.04</f>
        <v>88719648.040000007</v>
      </c>
      <c r="E51" s="53">
        <f>413640692.7</f>
        <v>413640692.69999999</v>
      </c>
      <c r="F51" s="53">
        <f>28263490.26</f>
        <v>28263490.260000002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10.586398238613631</v>
      </c>
      <c r="K51" s="34">
        <f t="shared" si="4"/>
        <v>8.4422750603090506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3656342147.1200004</v>
      </c>
      <c r="D52" s="67">
        <f>D49-D50</f>
        <v>747123540.97000003</v>
      </c>
      <c r="E52" s="67">
        <f>E49-E50</f>
        <v>1577307840.21</v>
      </c>
      <c r="F52" s="59">
        <f t="shared" si="5"/>
        <v>194930308.61000001</v>
      </c>
      <c r="G52" s="59">
        <f t="shared" si="5"/>
        <v>0</v>
      </c>
      <c r="H52" s="59">
        <f t="shared" si="5"/>
        <v>375</v>
      </c>
      <c r="I52" s="78">
        <f t="shared" si="5"/>
        <v>0</v>
      </c>
      <c r="J52" s="34">
        <f t="shared" si="3"/>
        <v>89.149895348836267</v>
      </c>
      <c r="K52" s="34">
        <f t="shared" si="4"/>
        <v>20.433633147775531</v>
      </c>
      <c r="L52" s="22"/>
      <c r="M52" s="76"/>
    </row>
    <row r="53" spans="2:16" ht="22.5" outlineLevel="1" x14ac:dyDescent="0.2">
      <c r="B53" s="56" t="s">
        <v>72</v>
      </c>
      <c r="C53" s="53">
        <f>276761329.73</f>
        <v>276761329.73000002</v>
      </c>
      <c r="D53" s="53">
        <f>68221924.28</f>
        <v>68221924.280000001</v>
      </c>
      <c r="E53" s="53">
        <f>192656047.35</f>
        <v>192656047.34999999</v>
      </c>
      <c r="F53" s="53">
        <f>8765880.16999999</f>
        <v>8765880.1699999906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8.1405243932776141</v>
      </c>
      <c r="K53" s="34">
        <f t="shared" si="4"/>
        <v>24.650092679694538</v>
      </c>
      <c r="L53" s="22"/>
      <c r="M53" s="75"/>
    </row>
    <row r="54" spans="2:16" ht="12.75" customHeight="1" outlineLevel="1" x14ac:dyDescent="0.2">
      <c r="B54" s="56" t="s">
        <v>26</v>
      </c>
      <c r="C54" s="61">
        <f>41127447.85</f>
        <v>41127447.850000001</v>
      </c>
      <c r="D54" s="61">
        <f>8343764.67</f>
        <v>8343764.6699999999</v>
      </c>
      <c r="E54" s="61">
        <f>28268626.14</f>
        <v>28268626.140000001</v>
      </c>
      <c r="F54" s="61">
        <f>603894.79</f>
        <v>603894.79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0.99561278203076431</v>
      </c>
      <c r="K54" s="34">
        <f t="shared" si="4"/>
        <v>20.287581909850989</v>
      </c>
      <c r="L54" s="22"/>
      <c r="M54" s="75"/>
    </row>
    <row r="55" spans="2:16" ht="12.75" customHeight="1" outlineLevel="1" x14ac:dyDescent="0.2">
      <c r="B55" s="56" t="s">
        <v>25</v>
      </c>
      <c r="C55" s="53">
        <f>25002243</f>
        <v>25002243</v>
      </c>
      <c r="D55" s="53">
        <f>5389291.81</f>
        <v>5389291.8099999996</v>
      </c>
      <c r="E55" s="53">
        <f>10144477.78</f>
        <v>10144477.779999999</v>
      </c>
      <c r="F55" s="53">
        <f>340977.77</f>
        <v>340977.77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0.64307276443472761</v>
      </c>
      <c r="K55" s="34">
        <f t="shared" si="4"/>
        <v>21.555233304467922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3136528</f>
        <v>3136528</v>
      </c>
      <c r="D57" s="61">
        <f>356755.1</f>
        <v>356755.1</v>
      </c>
      <c r="E57" s="61">
        <f>1253759</f>
        <v>1253759</v>
      </c>
      <c r="F57" s="61">
        <f>73604.92</f>
        <v>73604.92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4.2569505692286444E-2</v>
      </c>
      <c r="K57" s="34">
        <f t="shared" si="4"/>
        <v>11.374204215616759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3310314598.5400004</v>
      </c>
      <c r="D58" s="53">
        <f>D52-D53-D54-D55-D56-D57</f>
        <v>664811805.11000013</v>
      </c>
      <c r="E58" s="71">
        <f>E52-E53-E54-E55-E56-E57</f>
        <v>1344984929.9400001</v>
      </c>
      <c r="F58" s="71">
        <f t="shared" si="6"/>
        <v>185145950.96000004</v>
      </c>
      <c r="G58" s="71">
        <f t="shared" si="6"/>
        <v>0</v>
      </c>
      <c r="H58" s="71">
        <f t="shared" si="6"/>
        <v>375</v>
      </c>
      <c r="I58" s="82">
        <f t="shared" si="6"/>
        <v>0</v>
      </c>
      <c r="J58" s="34">
        <f t="shared" si="3"/>
        <v>79.328115903400899</v>
      </c>
      <c r="K58" s="34">
        <f t="shared" si="4"/>
        <v>20.083040004814421</v>
      </c>
      <c r="L58" s="22"/>
      <c r="M58" s="75"/>
    </row>
    <row r="59" spans="2:16" x14ac:dyDescent="0.2">
      <c r="B59" s="93" t="s">
        <v>15</v>
      </c>
      <c r="C59" s="59">
        <f>C6-C49</f>
        <v>-634883631.97000027</v>
      </c>
      <c r="D59" s="67">
        <f>D6-D49</f>
        <v>60730123.870000005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">
        <v>96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21" t="s">
        <v>79</v>
      </c>
      <c r="F62" s="122"/>
      <c r="G62" s="122"/>
      <c r="H62" s="122"/>
      <c r="I62" s="123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45" t="s">
        <v>40</v>
      </c>
      <c r="D63" s="146"/>
      <c r="E63" s="124"/>
      <c r="F63" s="125"/>
      <c r="G63" s="125"/>
      <c r="H63" s="125"/>
      <c r="I63" s="126"/>
      <c r="J63" s="136" t="s">
        <v>4</v>
      </c>
      <c r="K63" s="137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27"/>
      <c r="F64" s="128"/>
      <c r="G64" s="128"/>
      <c r="H64" s="128"/>
      <c r="I64" s="129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684472645.89</f>
        <v>684472645.88999999</v>
      </c>
      <c r="D65" s="27">
        <f>1274837622.59</f>
        <v>1274837622.5899999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186.25106938091957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34793889</f>
        <v>34793889</v>
      </c>
      <c r="D66" s="28">
        <f>17522602.69</f>
        <v>17522602.690000001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1.3744968284196488</v>
      </c>
      <c r="K66" s="33">
        <f t="shared" si="7"/>
        <v>50.361150172089133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0</f>
        <v>0</v>
      </c>
      <c r="D67" s="64">
        <f>0</f>
        <v>0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0</v>
      </c>
      <c r="K67" s="60" t="str">
        <f t="shared" si="7"/>
        <v/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0</f>
        <v>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 t="str">
        <f t="shared" si="7"/>
        <v/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564923741.04</f>
        <v>564923741.03999996</v>
      </c>
      <c r="D69" s="64">
        <f>1130689189.39</f>
        <v>1130689189.3900001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88.692800506848599</v>
      </c>
      <c r="K69" s="60">
        <f t="shared" si="7"/>
        <v>200.14899485520837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22139687.56</f>
        <v>22139687.559999999</v>
      </c>
      <c r="D70" s="64">
        <f>39266936.79</f>
        <v>39266936.789999999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3.0801520204764641</v>
      </c>
      <c r="K70" s="60">
        <f t="shared" si="7"/>
        <v>177.35994098193137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56615328.29</f>
        <v>56615328.289999999</v>
      </c>
      <c r="D72" s="64">
        <f>82329705.63</f>
        <v>82329705.629999995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6.4580542785312849</v>
      </c>
      <c r="K72" s="60">
        <f t="shared" si="7"/>
        <v>145.41946168409297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4000000</f>
        <v>4000000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0.31376544974202086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6000000</f>
        <v>6000000</v>
      </c>
      <c r="D74" s="64">
        <f>1029188.09</f>
        <v>1029188.09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8.073091598199536E-2</v>
      </c>
      <c r="K74" s="60">
        <f>IF(C74=0,"",100*D74/C74)</f>
        <v>17.153134833333333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5000000</f>
        <v>5000000</v>
      </c>
      <c r="D75" s="64">
        <f>0</f>
        <v>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</v>
      </c>
      <c r="K75" s="60">
        <f t="shared" si="7"/>
        <v>0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49589013.92</f>
        <v>49589013.920000002</v>
      </c>
      <c r="D76" s="31">
        <f>28198384.71</f>
        <v>28198384.710000001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56.864177124980422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38268750.57</f>
        <v>38268750.57</v>
      </c>
      <c r="D77" s="30">
        <f>8185921.22</f>
        <v>8185921.2199999997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29.029752250656486</v>
      </c>
      <c r="K77" s="33">
        <f t="shared" si="7"/>
        <v>21.390615314253779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0</f>
        <v>0</v>
      </c>
      <c r="D79" s="64">
        <f>0</f>
        <v>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11320263.35</f>
        <v>11320263.35</v>
      </c>
      <c r="D80" s="64">
        <f>20012463.49</f>
        <v>20012463.489999998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70.9702477493435</v>
      </c>
      <c r="K80" s="60">
        <f>IF(C80=0,"",100*D80/C80)</f>
        <v>176.78443399463845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108569.73</f>
        <v>108569.73</v>
      </c>
      <c r="D81" s="64">
        <f>168114.16</f>
        <v>168114.16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0.59618365281888519</v>
      </c>
      <c r="K81" s="60">
        <f>IF(C81=0,"",100*D81/C81)</f>
        <v>154.84441197376103</v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47" t="s">
        <v>40</v>
      </c>
      <c r="D84" s="148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639896903.67</f>
        <v>639896903.66999996</v>
      </c>
      <c r="D86" s="85">
        <f>0</f>
        <v>0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0</f>
        <v>0</v>
      </c>
      <c r="D87" s="84">
        <f>0</f>
        <v>0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24616320</f>
        <v>24616320</v>
      </c>
      <c r="D88" s="84">
        <f>0</f>
        <v>0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563859477.31</f>
        <v>563859477.30999994</v>
      </c>
      <c r="D90" s="84">
        <f>0</f>
        <v>0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29372686.55</f>
        <v>29372686.550000001</v>
      </c>
      <c r="D91" s="84">
        <f>0</f>
        <v>0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17048419.81</f>
        <v>17048419.809999999</v>
      </c>
      <c r="D92" s="84">
        <f>0</f>
        <v>0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5000000</f>
        <v>5000000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1</f>
        <v>1</v>
      </c>
      <c r="D96" s="114" t="str">
        <f>IF(C96=1,"I Kwartał",IF(C96=2,"II Kwartały",IF(C96=3,"III Kwartały",IF(C96=4,"IV Kwartały",IF(C96="M1","Styczeń",IF(C96="M11","Listopad",IF(C96="M12","Grudzień","-")))))))</f>
        <v>I Kwartał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2023</f>
        <v>2023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19" t="str">
        <f>"May 26 2023 12:00AM"</f>
        <v>May 26 2023 12:00AM</v>
      </c>
      <c r="D98" s="120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B3:B4"/>
    <mergeCell ref="F45:F46"/>
    <mergeCell ref="C63:D63"/>
    <mergeCell ref="C84:D84"/>
    <mergeCell ref="C47:I47"/>
    <mergeCell ref="E4:I5"/>
    <mergeCell ref="C4:D4"/>
    <mergeCell ref="J4:L4"/>
    <mergeCell ref="J47:K47"/>
    <mergeCell ref="E44:E46"/>
    <mergeCell ref="C44:C46"/>
    <mergeCell ref="I59:J59"/>
    <mergeCell ref="G45:H45"/>
    <mergeCell ref="F44:H44"/>
    <mergeCell ref="C98:D98"/>
    <mergeCell ref="E62:I64"/>
    <mergeCell ref="K44:K46"/>
    <mergeCell ref="B44:B47"/>
    <mergeCell ref="I44:I46"/>
    <mergeCell ref="J44:J46"/>
    <mergeCell ref="D44:D46"/>
    <mergeCell ref="J63:K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2023-06-01T13:56:11Z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2023-06-01T15:55:50.4167255+02:00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GRN-f0f381a2-946d-4a6b-8f8c-80c8d3b9369f</vt:lpwstr>
  </property>
  <property fmtid="{D5CDD505-2E9C-101B-9397-08002B2CF9AE}" pid="7" name="MFHash">
    <vt:lpwstr>WjmMR4ZYZSUhBYI0Xf5dDdN+LOlyjxz3fhhQgMXzG3U=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