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doch_wyd!$A$1:$M$116</definedName>
  </definedNames>
  <calcPr calcId="152511"/>
</workbook>
</file>

<file path=xl/calcChain.xml><?xml version="1.0" encoding="utf-8"?>
<calcChain xmlns="http://schemas.openxmlformats.org/spreadsheetml/2006/main">
  <c r="C116" i="4" l="1"/>
  <c r="C115" i="4"/>
  <c r="C114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F55" i="4"/>
  <c r="E55" i="4"/>
  <c r="D55" i="4"/>
  <c r="C55" i="4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6" i="4" s="1"/>
  <c r="D23" i="4"/>
  <c r="D22" i="4" s="1"/>
  <c r="C23" i="4"/>
  <c r="C75" i="4"/>
  <c r="G7" i="4"/>
  <c r="G21" i="4" s="1"/>
  <c r="G54" i="4"/>
  <c r="G56" i="4" s="1"/>
  <c r="K11" i="4"/>
  <c r="K19" i="4"/>
  <c r="K25" i="4"/>
  <c r="K29" i="4"/>
  <c r="K33" i="4"/>
  <c r="K37" i="4"/>
  <c r="K41" i="4"/>
  <c r="K45" i="4"/>
  <c r="K50" i="4"/>
  <c r="F68" i="4"/>
  <c r="F74" i="4" s="1"/>
  <c r="K71" i="4"/>
  <c r="F81" i="4"/>
  <c r="H7" i="4"/>
  <c r="H21" i="4" s="1"/>
  <c r="H54" i="4"/>
  <c r="H56" i="4" s="1"/>
  <c r="K10" i="4"/>
  <c r="K18" i="4"/>
  <c r="G68" i="4"/>
  <c r="G74" i="4" s="1"/>
  <c r="K70" i="4"/>
  <c r="G81" i="4"/>
  <c r="K89" i="4"/>
  <c r="K93" i="4"/>
  <c r="K97" i="4"/>
  <c r="I54" i="4"/>
  <c r="I56" i="4" s="1"/>
  <c r="I7" i="4"/>
  <c r="I21" i="4"/>
  <c r="K9" i="4"/>
  <c r="K17" i="4"/>
  <c r="K26" i="4"/>
  <c r="K30" i="4"/>
  <c r="K34" i="4"/>
  <c r="K38" i="4"/>
  <c r="K42" i="4"/>
  <c r="K47" i="4"/>
  <c r="C46" i="4"/>
  <c r="K51" i="4"/>
  <c r="H68" i="4"/>
  <c r="H74" i="4" s="1"/>
  <c r="K69" i="4"/>
  <c r="H81" i="4"/>
  <c r="K8" i="4"/>
  <c r="K16" i="4"/>
  <c r="D46" i="4"/>
  <c r="J46" i="4" s="1"/>
  <c r="I68" i="4"/>
  <c r="I74" i="4" s="1"/>
  <c r="K67" i="4"/>
  <c r="I81" i="4"/>
  <c r="K86" i="4"/>
  <c r="K90" i="4"/>
  <c r="K94" i="4"/>
  <c r="K98" i="4"/>
  <c r="K31" i="4"/>
  <c r="K35" i="4"/>
  <c r="K48" i="4"/>
  <c r="K66" i="4"/>
  <c r="K80" i="4"/>
  <c r="J36" i="4"/>
  <c r="J8" i="4"/>
  <c r="J43" i="4"/>
  <c r="J45" i="4"/>
  <c r="J42" i="4"/>
  <c r="J26" i="4"/>
  <c r="J38" i="4"/>
  <c r="J19" i="4"/>
  <c r="J16" i="4"/>
  <c r="J11" i="4"/>
  <c r="J34" i="4"/>
  <c r="J50" i="4"/>
  <c r="D54" i="4"/>
  <c r="D75" i="4"/>
  <c r="J10" i="4"/>
  <c r="J15" i="4"/>
  <c r="J20" i="4"/>
  <c r="J30" i="4"/>
  <c r="J23" i="4"/>
  <c r="J33" i="4"/>
  <c r="J35" i="4"/>
  <c r="J24" i="4"/>
  <c r="J32" i="4"/>
  <c r="J25" i="4"/>
  <c r="J29" i="4"/>
  <c r="J17" i="4"/>
  <c r="J27" i="4"/>
  <c r="J52" i="4"/>
  <c r="J51" i="4"/>
  <c r="J48" i="4"/>
  <c r="J12" i="4"/>
  <c r="J49" i="4"/>
  <c r="J47" i="4"/>
  <c r="J40" i="4"/>
  <c r="J14" i="4"/>
  <c r="J13" i="4"/>
  <c r="J28" i="4"/>
  <c r="J41" i="4"/>
  <c r="J37" i="4"/>
  <c r="J18" i="4"/>
  <c r="J39" i="4"/>
  <c r="J6" i="4"/>
  <c r="J31" i="4"/>
  <c r="J44" i="4"/>
  <c r="J9" i="4"/>
  <c r="K15" i="4"/>
  <c r="K27" i="4"/>
  <c r="K43" i="4"/>
  <c r="K65" i="4"/>
  <c r="C68" i="4"/>
  <c r="K79" i="4"/>
  <c r="C81" i="4"/>
  <c r="K81" i="4" s="1"/>
  <c r="K87" i="4"/>
  <c r="K95" i="4"/>
  <c r="E7" i="4"/>
  <c r="E21" i="4"/>
  <c r="E54" i="4"/>
  <c r="E56" i="4"/>
  <c r="K13" i="4"/>
  <c r="K24" i="4"/>
  <c r="K28" i="4"/>
  <c r="K32" i="4"/>
  <c r="K36" i="4"/>
  <c r="K40" i="4"/>
  <c r="K44" i="4"/>
  <c r="K49" i="4"/>
  <c r="K55" i="4"/>
  <c r="D68" i="4"/>
  <c r="D74" i="4" s="1"/>
  <c r="J73" i="4"/>
  <c r="J65" i="4"/>
  <c r="J66" i="4"/>
  <c r="J72" i="4"/>
  <c r="J71" i="4"/>
  <c r="J67" i="4"/>
  <c r="J69" i="4"/>
  <c r="J70" i="4"/>
  <c r="K73" i="4"/>
  <c r="J79" i="4"/>
  <c r="D81" i="4"/>
  <c r="J81" i="4"/>
  <c r="J80" i="4"/>
  <c r="J97" i="4"/>
  <c r="J98" i="4"/>
  <c r="J95" i="4"/>
  <c r="J96" i="4"/>
  <c r="J99" i="4"/>
  <c r="K39" i="4"/>
  <c r="K52" i="4"/>
  <c r="J87" i="4"/>
  <c r="J91" i="4"/>
  <c r="J88" i="4"/>
  <c r="J89" i="4"/>
  <c r="J92" i="4"/>
  <c r="J94" i="4"/>
  <c r="J90" i="4"/>
  <c r="J93" i="4"/>
  <c r="J86" i="4"/>
  <c r="K14" i="4"/>
  <c r="K91" i="4"/>
  <c r="K99" i="4"/>
  <c r="D114" i="4"/>
  <c r="F7" i="4"/>
  <c r="F21" i="4" s="1"/>
  <c r="F54" i="4"/>
  <c r="F56" i="4" s="1"/>
  <c r="K12" i="4"/>
  <c r="K20" i="4"/>
  <c r="E68" i="4"/>
  <c r="E74" i="4" s="1"/>
  <c r="K72" i="4"/>
  <c r="E81" i="4"/>
  <c r="K88" i="4"/>
  <c r="K92" i="4"/>
  <c r="K96" i="4"/>
  <c r="J68" i="4"/>
  <c r="D56" i="4"/>
  <c r="D76" i="4" s="1"/>
  <c r="J54" i="4"/>
  <c r="J55" i="4"/>
  <c r="B82" i="4"/>
  <c r="B1" i="4"/>
  <c r="B58" i="4"/>
  <c r="C22" i="4"/>
  <c r="C7" i="4" s="1"/>
  <c r="C21" i="4" s="1"/>
  <c r="K68" i="4"/>
  <c r="C74" i="4"/>
  <c r="J74" i="4" l="1"/>
  <c r="K74" i="4"/>
  <c r="J56" i="4"/>
  <c r="K46" i="4"/>
  <c r="K23" i="4"/>
  <c r="D7" i="4"/>
  <c r="K7" i="4" s="1"/>
  <c r="J22" i="4"/>
  <c r="K22" i="4"/>
  <c r="C54" i="4"/>
  <c r="L13" i="4" l="1"/>
  <c r="D21" i="4"/>
  <c r="K21" i="4" s="1"/>
  <c r="L10" i="4"/>
  <c r="L16" i="4"/>
  <c r="L17" i="4"/>
  <c r="L9" i="4"/>
  <c r="L12" i="4"/>
  <c r="J7" i="4"/>
  <c r="L8" i="4"/>
  <c r="L19" i="4"/>
  <c r="L18" i="4"/>
  <c r="L14" i="4"/>
  <c r="L15" i="4"/>
  <c r="L20" i="4"/>
  <c r="L11" i="4"/>
  <c r="L7" i="4"/>
  <c r="K54" i="4"/>
  <c r="C56" i="4"/>
  <c r="J21" i="4" l="1"/>
  <c r="L21" i="4"/>
  <c r="K56" i="4"/>
  <c r="C76" i="4"/>
</calcChain>
</file>

<file path=xl/sharedStrings.xml><?xml version="1.0" encoding="utf-8"?>
<sst xmlns="http://schemas.openxmlformats.org/spreadsheetml/2006/main" count="356" uniqueCount="112">
  <si>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</si>
  <si>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</si>
  <si>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</si>
  <si>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</si>
  <si>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</si>
  <si>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</si>
  <si>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</si>
  <si>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</si>
  <si>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</si>
  <si>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</si>
  <si>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</si>
  <si>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</si>
  <si>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</si>
  <si>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</si>
  <si>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</si>
  <si>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</si>
  <si>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</si>
  <si>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</si>
  <si>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</si>
  <si>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</si>
  <si>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</si>
  <si>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</si>
  <si>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</si>
  <si>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</si>
  <si>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</si>
  <si>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</si>
  <si>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</si>
  <si>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</si>
  <si>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</si>
  <si>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</si>
  <si>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</si>
  <si>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</si>
  <si>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</si>
  <si>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</si>
  <si>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</si>
  <si>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</si>
  <si>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</si>
  <si>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</si>
  <si>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</si>
  <si>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</si>
  <si>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</si>
  <si>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</si>
  <si>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</si>
  <si>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</si>
  <si>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</si>
  <si>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</si>
  <si>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</si>
  <si>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</si>
  <si>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</si>
  <si>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</si>
  <si>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</si>
  <si>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</si>
  <si>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</si>
  <si>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</si>
  <si>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</si>
  <si>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</si>
  <si>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</si>
  <si>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</si>
  <si>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</si>
  <si>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</si>
  <si>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</si>
  <si>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</si>
  <si>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</si>
  <si>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</si>
  <si>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</si>
  <si>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</si>
  <si>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</si>
  <si>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</si>
  <si>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</si>
  <si>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</si>
  <si>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</si>
  <si>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</si>
  <si>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</si>
  <si>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</si>
  <si>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</si>
  <si>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</si>
  <si>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</si>
  <si>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</si>
  <si>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</si>
  <si>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</si>
  <si>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</si>
  <si>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</si>
  <si>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</si>
  <si>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</si>
  <si>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</si>
  <si>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</si>
  <si>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</si>
  <si>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</si>
  <si>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</si>
  <si>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</si>
  <si>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</si>
  <si>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</si>
  <si>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</si>
  <si>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</si>
  <si>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</si>
  <si>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</si>
  <si>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</si>
  <si>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</si>
  <si>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</si>
  <si>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</si>
  <si>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</si>
  <si>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</si>
  <si>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</si>
  <si>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</si>
  <si>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</si>
  <si>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</si>
  <si>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</si>
  <si>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</si>
  <si>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FINANSOWANIE DEFICYTU (E1+E2+E3+E4+E5+E6+E7) 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</si>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</sst>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4" fontId="13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4" fontId="11" fillId="23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4" fontId="11" fillId="22" borderId="10" xfId="29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164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4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4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4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te" xfId="42"/>
    <cellStyle name="Note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6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",$D$114," ",$C$115," roku")</f>
        <v>Informacja z wykonania budżetów jednostek samorządu terytorialnego za IV Kwartały 2022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05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">
      <c r="B4" s="105"/>
      <c r="C4" s="107" t="s">
        <v>79</v>
      </c>
      <c r="D4" s="108"/>
      <c r="E4" s="108"/>
      <c r="F4" s="108"/>
      <c r="G4" s="108"/>
      <c r="H4" s="108"/>
      <c r="I4" s="109"/>
      <c r="J4" s="106" t="s">
        <v>4</v>
      </c>
      <c r="K4" s="106"/>
      <c r="L4" s="106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354622330151.86</f>
        <v>354622330151.85999</v>
      </c>
      <c r="D6" s="58">
        <f>345672943463.19</f>
        <v>345672943463.19</v>
      </c>
      <c r="E6" s="58">
        <f>3812713588.09</f>
        <v>3812713588.0900002</v>
      </c>
      <c r="F6" s="58">
        <f>963920761.33</f>
        <v>963920761.33000004</v>
      </c>
      <c r="G6" s="58">
        <f>129976036.78</f>
        <v>129976036.78</v>
      </c>
      <c r="H6" s="58">
        <f>182763866.27</f>
        <v>182763866.27000001</v>
      </c>
      <c r="I6" s="58">
        <f>6188040.26</f>
        <v>6188040.2599999998</v>
      </c>
      <c r="J6" s="59">
        <f t="shared" ref="J6:J52" si="0">IF($D$6=0,"",100*$D6/$D$6)</f>
        <v>100</v>
      </c>
      <c r="K6" s="59">
        <f t="shared" ref="K6:K52" si="1">IF(C6=0,"",100*D6/C6)</f>
        <v>97.47636120803854</v>
      </c>
      <c r="L6" s="59"/>
    </row>
    <row r="7" spans="2:13" ht="27.95" customHeight="1" x14ac:dyDescent="0.2">
      <c r="B7" s="76" t="s">
        <v>60</v>
      </c>
      <c r="C7" s="25">
        <f>C6-C22-C46</f>
        <v>174776842094.31995</v>
      </c>
      <c r="D7" s="25">
        <f>D6-D22-D46</f>
        <v>175205994563.07999</v>
      </c>
      <c r="E7" s="25">
        <f>E6</f>
        <v>3812713588.0900002</v>
      </c>
      <c r="F7" s="25">
        <f>F6</f>
        <v>963920761.33000004</v>
      </c>
      <c r="G7" s="25">
        <f>G6</f>
        <v>129976036.78</v>
      </c>
      <c r="H7" s="25">
        <f>H6</f>
        <v>182763866.27000001</v>
      </c>
      <c r="I7" s="25">
        <f>I6</f>
        <v>6188040.2599999998</v>
      </c>
      <c r="J7" s="33">
        <f t="shared" si="0"/>
        <v>50.685481139410413</v>
      </c>
      <c r="K7" s="33">
        <f t="shared" si="1"/>
        <v>100.24554309576577</v>
      </c>
      <c r="L7" s="33">
        <f t="shared" ref="L7:L21" si="2">IF($D$7=0,"",100*$D7/$D$7)</f>
        <v>100</v>
      </c>
    </row>
    <row r="8" spans="2:13" ht="23.1" customHeight="1" outlineLevel="1" x14ac:dyDescent="0.2">
      <c r="B8" s="30" t="s">
        <v>35</v>
      </c>
      <c r="C8" s="23">
        <f>15167072951.08</f>
        <v>15167072951.08</v>
      </c>
      <c r="D8" s="23">
        <f>15153789979.41</f>
        <v>15153789979.41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4">
        <f t="shared" si="0"/>
        <v>4.3838519230313135</v>
      </c>
      <c r="K8" s="34">
        <f t="shared" si="1"/>
        <v>99.912422313040608</v>
      </c>
      <c r="L8" s="34">
        <f t="shared" si="2"/>
        <v>8.6491275696358283</v>
      </c>
    </row>
    <row r="9" spans="2:13" ht="23.1" customHeight="1" outlineLevel="1" x14ac:dyDescent="0.2">
      <c r="B9" s="30" t="s">
        <v>19</v>
      </c>
      <c r="C9" s="23">
        <f>66029675386.72</f>
        <v>66029675386.720001</v>
      </c>
      <c r="D9" s="23">
        <f>67642808885</f>
        <v>67642808885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4">
        <f t="shared" si="0"/>
        <v>19.568441836178348</v>
      </c>
      <c r="K9" s="34">
        <f t="shared" si="1"/>
        <v>102.44304320569844</v>
      </c>
      <c r="L9" s="34">
        <f t="shared" si="2"/>
        <v>38.607588201353657</v>
      </c>
    </row>
    <row r="10" spans="2:13" ht="12.95" customHeight="1" outlineLevel="1" x14ac:dyDescent="0.2">
      <c r="B10" s="30" t="s">
        <v>20</v>
      </c>
      <c r="C10" s="23">
        <f>1755560383.95</f>
        <v>1755560383.95</v>
      </c>
      <c r="D10" s="23">
        <f>1694029047.04</f>
        <v>1694029047.04</v>
      </c>
      <c r="E10" s="23">
        <f>149878428.15</f>
        <v>149878428.15000001</v>
      </c>
      <c r="F10" s="23">
        <f>1107527.88</f>
        <v>1107527.8799999999</v>
      </c>
      <c r="G10" s="23">
        <f>2936393.68</f>
        <v>2936393.68</v>
      </c>
      <c r="H10" s="23">
        <f>1265207.26</f>
        <v>1265207.26</v>
      </c>
      <c r="I10" s="24">
        <f>3179.25</f>
        <v>3179.25</v>
      </c>
      <c r="J10" s="34">
        <f t="shared" si="0"/>
        <v>0.49006700671103975</v>
      </c>
      <c r="K10" s="34">
        <f t="shared" si="1"/>
        <v>96.495060068993183</v>
      </c>
      <c r="L10" s="34">
        <f t="shared" si="2"/>
        <v>0.96687847425796447</v>
      </c>
    </row>
    <row r="11" spans="2:13" ht="12.95" customHeight="1" outlineLevel="1" x14ac:dyDescent="0.2">
      <c r="B11" s="30" t="s">
        <v>21</v>
      </c>
      <c r="C11" s="23">
        <f>27900214691.22</f>
        <v>27900214691.220001</v>
      </c>
      <c r="D11" s="23">
        <f>28058151106.02</f>
        <v>28058151106.02</v>
      </c>
      <c r="E11" s="23">
        <f>2341714042.61</f>
        <v>2341714042.6100001</v>
      </c>
      <c r="F11" s="23">
        <f>775046534.79</f>
        <v>775046534.78999996</v>
      </c>
      <c r="G11" s="23">
        <f>97696939.82</f>
        <v>97696939.819999993</v>
      </c>
      <c r="H11" s="23">
        <f>131084425.62</f>
        <v>131084425.62</v>
      </c>
      <c r="I11" s="24">
        <f>4927182.77</f>
        <v>4927182.7699999996</v>
      </c>
      <c r="J11" s="34">
        <f t="shared" si="0"/>
        <v>8.1169647890037577</v>
      </c>
      <c r="K11" s="34">
        <f t="shared" si="1"/>
        <v>100.56607598381564</v>
      </c>
      <c r="L11" s="34">
        <f t="shared" si="2"/>
        <v>16.014378489725779</v>
      </c>
    </row>
    <row r="12" spans="2:13" ht="12.95" customHeight="1" outlineLevel="1" x14ac:dyDescent="0.2">
      <c r="B12" s="30" t="s">
        <v>22</v>
      </c>
      <c r="C12" s="23">
        <f>327774362.65</f>
        <v>327774362.64999998</v>
      </c>
      <c r="D12" s="23">
        <f>330067914.3</f>
        <v>330067914.30000001</v>
      </c>
      <c r="E12" s="23">
        <f>1013166.14</f>
        <v>1013166.14</v>
      </c>
      <c r="F12" s="23">
        <f>635705.17</f>
        <v>635705.17000000004</v>
      </c>
      <c r="G12" s="23">
        <f>125204.13</f>
        <v>125204.13</v>
      </c>
      <c r="H12" s="23">
        <f>12651.81</f>
        <v>12651.81</v>
      </c>
      <c r="I12" s="24">
        <f>57</f>
        <v>57</v>
      </c>
      <c r="J12" s="34">
        <f t="shared" si="0"/>
        <v>9.5485608735572977E-2</v>
      </c>
      <c r="K12" s="34">
        <f t="shared" si="1"/>
        <v>100.69973491259567</v>
      </c>
      <c r="L12" s="34">
        <f t="shared" si="2"/>
        <v>0.18838848243926071</v>
      </c>
    </row>
    <row r="13" spans="2:13" ht="12.95" customHeight="1" outlineLevel="1" x14ac:dyDescent="0.2">
      <c r="B13" s="30" t="s">
        <v>23</v>
      </c>
      <c r="C13" s="23">
        <f>1330679610.11</f>
        <v>1330679610.1099999</v>
      </c>
      <c r="D13" s="23">
        <f>1316621503.51</f>
        <v>1316621503.51</v>
      </c>
      <c r="E13" s="23">
        <f>1290963608.72</f>
        <v>1290963608.72</v>
      </c>
      <c r="F13" s="23">
        <f>2239042.01</f>
        <v>2239042.0099999998</v>
      </c>
      <c r="G13" s="23">
        <f>3044910.35</f>
        <v>3044910.35</v>
      </c>
      <c r="H13" s="23">
        <f>3585835.57</f>
        <v>3585835.57</v>
      </c>
      <c r="I13" s="24">
        <f>44836.13</f>
        <v>44836.13</v>
      </c>
      <c r="J13" s="34">
        <f t="shared" si="0"/>
        <v>0.38088647908603362</v>
      </c>
      <c r="K13" s="34">
        <f t="shared" si="1"/>
        <v>98.943539339357741</v>
      </c>
      <c r="L13" s="34">
        <f t="shared" si="2"/>
        <v>0.75147057998404987</v>
      </c>
    </row>
    <row r="14" spans="2:13" ht="33" customHeight="1" outlineLevel="1" x14ac:dyDescent="0.2">
      <c r="B14" s="30" t="s">
        <v>44</v>
      </c>
      <c r="C14" s="23">
        <f>158690440.29</f>
        <v>158690440.28999999</v>
      </c>
      <c r="D14" s="23">
        <f>195988974.84</f>
        <v>195988974.84</v>
      </c>
      <c r="E14" s="23">
        <f>0</f>
        <v>0</v>
      </c>
      <c r="F14" s="23">
        <f>0</f>
        <v>0</v>
      </c>
      <c r="G14" s="23">
        <f>46711.68</f>
        <v>46711.68</v>
      </c>
      <c r="H14" s="23">
        <f>559012.48</f>
        <v>559012.48</v>
      </c>
      <c r="I14" s="24">
        <f>0</f>
        <v>0</v>
      </c>
      <c r="J14" s="34">
        <f t="shared" si="0"/>
        <v>5.6697805988645586E-2</v>
      </c>
      <c r="K14" s="34">
        <f t="shared" si="1"/>
        <v>123.50395807197872</v>
      </c>
      <c r="L14" s="34">
        <f t="shared" si="2"/>
        <v>0.11186202579925851</v>
      </c>
    </row>
    <row r="15" spans="2:13" ht="12.95" customHeight="1" outlineLevel="1" x14ac:dyDescent="0.2">
      <c r="B15" s="30" t="s">
        <v>28</v>
      </c>
      <c r="C15" s="23">
        <f>428706465.69</f>
        <v>428706465.69</v>
      </c>
      <c r="D15" s="23">
        <f>540137828.9</f>
        <v>540137828.89999998</v>
      </c>
      <c r="E15" s="23">
        <f>0</f>
        <v>0</v>
      </c>
      <c r="F15" s="23">
        <f>0</f>
        <v>0</v>
      </c>
      <c r="G15" s="23">
        <f>5996675.68</f>
        <v>5996675.6799999997</v>
      </c>
      <c r="H15" s="23">
        <f>16318115.78</f>
        <v>16318115.779999999</v>
      </c>
      <c r="I15" s="24">
        <f>0</f>
        <v>0</v>
      </c>
      <c r="J15" s="34">
        <f t="shared" si="0"/>
        <v>0.15625690095629893</v>
      </c>
      <c r="K15" s="34">
        <f t="shared" si="1"/>
        <v>125.99246153907477</v>
      </c>
      <c r="L15" s="34">
        <f t="shared" si="2"/>
        <v>0.30828729932840993</v>
      </c>
    </row>
    <row r="16" spans="2:13" ht="23.1" customHeight="1" outlineLevel="1" x14ac:dyDescent="0.2">
      <c r="B16" s="30" t="s">
        <v>29</v>
      </c>
      <c r="C16" s="23">
        <f>3876863786.15</f>
        <v>3876863786.1500001</v>
      </c>
      <c r="D16" s="23">
        <f>4154446420.93</f>
        <v>4154446420.9299998</v>
      </c>
      <c r="E16" s="23">
        <f>0</f>
        <v>0</v>
      </c>
      <c r="F16" s="23">
        <f>0</f>
        <v>0</v>
      </c>
      <c r="G16" s="23">
        <f>261694.87</f>
        <v>261694.87</v>
      </c>
      <c r="H16" s="23">
        <f>6093340.99</f>
        <v>6093340.9900000002</v>
      </c>
      <c r="I16" s="24">
        <f>0</f>
        <v>0</v>
      </c>
      <c r="J16" s="34">
        <f t="shared" si="0"/>
        <v>1.2018431003907595</v>
      </c>
      <c r="K16" s="34">
        <f t="shared" si="1"/>
        <v>107.15997904728191</v>
      </c>
      <c r="L16" s="34">
        <f t="shared" si="2"/>
        <v>2.3711782415265827</v>
      </c>
    </row>
    <row r="17" spans="2:12" ht="12.95" customHeight="1" outlineLevel="1" x14ac:dyDescent="0.2">
      <c r="B17" s="30" t="s">
        <v>30</v>
      </c>
      <c r="C17" s="23">
        <f>572081519.82</f>
        <v>572081519.82000005</v>
      </c>
      <c r="D17" s="23">
        <f>611916117.43</f>
        <v>611916117.42999995</v>
      </c>
      <c r="E17" s="23">
        <f>0</f>
        <v>0</v>
      </c>
      <c r="F17" s="23">
        <f>0</f>
        <v>0</v>
      </c>
      <c r="G17" s="23">
        <f>7203</f>
        <v>7203</v>
      </c>
      <c r="H17" s="23">
        <f>198</f>
        <v>198</v>
      </c>
      <c r="I17" s="24">
        <f>0</f>
        <v>0</v>
      </c>
      <c r="J17" s="34">
        <f t="shared" si="0"/>
        <v>0.17702169897921491</v>
      </c>
      <c r="K17" s="34">
        <f t="shared" si="1"/>
        <v>106.96309813023386</v>
      </c>
      <c r="L17" s="34">
        <f t="shared" si="2"/>
        <v>0.34925524035633937</v>
      </c>
    </row>
    <row r="18" spans="2:12" ht="12.95" customHeight="1" outlineLevel="1" x14ac:dyDescent="0.2">
      <c r="B18" s="30" t="s">
        <v>31</v>
      </c>
      <c r="C18" s="23">
        <f>470492780.49</f>
        <v>470492780.49000001</v>
      </c>
      <c r="D18" s="23">
        <f>457327715.9</f>
        <v>457327715.89999998</v>
      </c>
      <c r="E18" s="23">
        <f>0</f>
        <v>0</v>
      </c>
      <c r="F18" s="23">
        <f>0</f>
        <v>0</v>
      </c>
      <c r="G18" s="23">
        <f>30546.23</f>
        <v>30546.23</v>
      </c>
      <c r="H18" s="23">
        <f>559478.86</f>
        <v>559478.86</v>
      </c>
      <c r="I18" s="24">
        <f>0</f>
        <v>0</v>
      </c>
      <c r="J18" s="34">
        <f t="shared" si="0"/>
        <v>0.13230069768208511</v>
      </c>
      <c r="K18" s="34">
        <f t="shared" si="1"/>
        <v>97.201856195053807</v>
      </c>
      <c r="L18" s="34">
        <f t="shared" si="2"/>
        <v>0.26102287027362342</v>
      </c>
    </row>
    <row r="19" spans="2:12" ht="12.95" customHeight="1" outlineLevel="1" x14ac:dyDescent="0.2">
      <c r="B19" s="30" t="s">
        <v>32</v>
      </c>
      <c r="C19" s="23">
        <f>128650373.21</f>
        <v>128650373.20999999</v>
      </c>
      <c r="D19" s="23">
        <f>116128490</f>
        <v>116128490</v>
      </c>
      <c r="E19" s="23">
        <f>2450641.25</f>
        <v>2450641.25</v>
      </c>
      <c r="F19" s="23">
        <f>6102</f>
        <v>6102</v>
      </c>
      <c r="G19" s="23">
        <f>22712</f>
        <v>22712</v>
      </c>
      <c r="H19" s="23">
        <f>104054.13</f>
        <v>104054.13</v>
      </c>
      <c r="I19" s="24">
        <f>0</f>
        <v>0</v>
      </c>
      <c r="J19" s="34">
        <f t="shared" si="0"/>
        <v>3.3594902984464069E-2</v>
      </c>
      <c r="K19" s="34">
        <f t="shared" si="1"/>
        <v>90.266733863600891</v>
      </c>
      <c r="L19" s="34">
        <f t="shared" si="2"/>
        <v>6.6281116858812661E-2</v>
      </c>
    </row>
    <row r="20" spans="2:12" ht="12.95" customHeight="1" outlineLevel="1" x14ac:dyDescent="0.2">
      <c r="B20" s="30" t="s">
        <v>24</v>
      </c>
      <c r="C20" s="23">
        <f>10979086899.39</f>
        <v>10979086899.389999</v>
      </c>
      <c r="D20" s="23">
        <f>10199353097.66</f>
        <v>10199353097.66</v>
      </c>
      <c r="E20" s="23">
        <f>0</f>
        <v>0</v>
      </c>
      <c r="F20" s="23">
        <f>96746.71</f>
        <v>96746.71</v>
      </c>
      <c r="G20" s="23">
        <f>0</f>
        <v>0</v>
      </c>
      <c r="H20" s="23">
        <f>0</f>
        <v>0</v>
      </c>
      <c r="I20" s="24">
        <f>4840.65</f>
        <v>4840.6499999999996</v>
      </c>
      <c r="J20" s="34">
        <f t="shared" si="0"/>
        <v>2.9505789476826982</v>
      </c>
      <c r="K20" s="34">
        <f t="shared" si="1"/>
        <v>92.898008651581748</v>
      </c>
      <c r="L20" s="34">
        <f t="shared" si="2"/>
        <v>5.8213493910951168</v>
      </c>
    </row>
    <row r="21" spans="2:12" ht="12.95" customHeight="1" outlineLevel="1" x14ac:dyDescent="0.2">
      <c r="B21" s="30" t="s">
        <v>25</v>
      </c>
      <c r="C21" s="23">
        <f>C7-C8-C9-C10-C11-C12-C13-C14-C15-C16-C17-C18-C19-C20</f>
        <v>45651292443.549957</v>
      </c>
      <c r="D21" s="23">
        <f t="shared" ref="D21:I21" si="3">D7-D8-D9-D10-D11-D12-D13-D14-D15-D16-D17-D18-D19-D20</f>
        <v>44735227482.139984</v>
      </c>
      <c r="E21" s="23">
        <f t="shared" si="3"/>
        <v>26693701.21999979</v>
      </c>
      <c r="F21" s="23">
        <f t="shared" si="3"/>
        <v>184789102.7700001</v>
      </c>
      <c r="G21" s="23">
        <f t="shared" si="3"/>
        <v>19807045.34</v>
      </c>
      <c r="H21" s="23">
        <f t="shared" si="3"/>
        <v>23181545.770000014</v>
      </c>
      <c r="I21" s="24">
        <f t="shared" si="3"/>
        <v>1207944.4600000004</v>
      </c>
      <c r="J21" s="34">
        <f t="shared" si="0"/>
        <v>12.941489442000179</v>
      </c>
      <c r="K21" s="34">
        <f t="shared" si="1"/>
        <v>97.993342767802829</v>
      </c>
      <c r="L21" s="34">
        <f t="shared" si="2"/>
        <v>25.532932017365315</v>
      </c>
    </row>
    <row r="22" spans="2:12" ht="27.95" customHeight="1" x14ac:dyDescent="0.2">
      <c r="B22" s="77" t="s">
        <v>106</v>
      </c>
      <c r="C22" s="58">
        <f>C23+C42+C44</f>
        <v>105014642772.09001</v>
      </c>
      <c r="D22" s="58">
        <f>D23+D42+D44</f>
        <v>95549889547.110016</v>
      </c>
      <c r="E22" s="60" t="s">
        <v>59</v>
      </c>
      <c r="F22" s="60" t="s">
        <v>59</v>
      </c>
      <c r="G22" s="60" t="s">
        <v>59</v>
      </c>
      <c r="H22" s="60" t="s">
        <v>59</v>
      </c>
      <c r="I22" s="60" t="s">
        <v>59</v>
      </c>
      <c r="J22" s="59">
        <f t="shared" si="0"/>
        <v>27.641703336635292</v>
      </c>
      <c r="K22" s="59">
        <f t="shared" si="1"/>
        <v>90.987206188454067</v>
      </c>
      <c r="L22" s="61"/>
    </row>
    <row r="23" spans="2:12" ht="27.95" customHeight="1" outlineLevel="1" x14ac:dyDescent="0.2">
      <c r="B23" s="82" t="s">
        <v>61</v>
      </c>
      <c r="C23" s="58">
        <f>C24+C26+C28+C30+C32+C34+C36+C38+C40</f>
        <v>85991145658.26001</v>
      </c>
      <c r="D23" s="58">
        <f>D24+D26+D28+D30+D32+D34+D36+D38+D40</f>
        <v>79753268367.060013</v>
      </c>
      <c r="E23" s="60" t="s">
        <v>59</v>
      </c>
      <c r="F23" s="60" t="s">
        <v>59</v>
      </c>
      <c r="G23" s="60" t="s">
        <v>59</v>
      </c>
      <c r="H23" s="60" t="s">
        <v>59</v>
      </c>
      <c r="I23" s="60" t="s">
        <v>59</v>
      </c>
      <c r="J23" s="59">
        <f t="shared" si="0"/>
        <v>23.071886265681297</v>
      </c>
      <c r="K23" s="59">
        <f t="shared" si="1"/>
        <v>92.745907449599358</v>
      </c>
      <c r="L23" s="61"/>
    </row>
    <row r="24" spans="2:12" ht="24.95" customHeight="1" outlineLevel="1" x14ac:dyDescent="0.2">
      <c r="B24" s="81" t="s">
        <v>9</v>
      </c>
      <c r="C24" s="24">
        <f>43666706419.18</f>
        <v>43666706419.18</v>
      </c>
      <c r="D24" s="24">
        <f>43153495372.05</f>
        <v>43153495372.050003</v>
      </c>
      <c r="E24" s="24" t="s">
        <v>59</v>
      </c>
      <c r="F24" s="24" t="s">
        <v>59</v>
      </c>
      <c r="G24" s="24" t="s">
        <v>59</v>
      </c>
      <c r="H24" s="24" t="s">
        <v>59</v>
      </c>
      <c r="I24" s="24" t="s">
        <v>59</v>
      </c>
      <c r="J24" s="34">
        <f t="shared" si="0"/>
        <v>12.483908905252612</v>
      </c>
      <c r="K24" s="34">
        <f t="shared" si="1"/>
        <v>98.824708595598196</v>
      </c>
      <c r="L24" s="29"/>
    </row>
    <row r="25" spans="2:12" ht="12.95" customHeight="1" outlineLevel="1" x14ac:dyDescent="0.2">
      <c r="B25" s="83" t="s">
        <v>6</v>
      </c>
      <c r="C25" s="24">
        <f>138685218.37</f>
        <v>138685218.37</v>
      </c>
      <c r="D25" s="24">
        <f>120689170.98</f>
        <v>120689170.98</v>
      </c>
      <c r="E25" s="24" t="s">
        <v>59</v>
      </c>
      <c r="F25" s="24" t="s">
        <v>59</v>
      </c>
      <c r="G25" s="24" t="s">
        <v>59</v>
      </c>
      <c r="H25" s="24" t="s">
        <v>59</v>
      </c>
      <c r="I25" s="24" t="s">
        <v>59</v>
      </c>
      <c r="J25" s="34">
        <f t="shared" si="0"/>
        <v>3.49142660026708E-2</v>
      </c>
      <c r="K25" s="34">
        <f t="shared" si="1"/>
        <v>87.023817244900513</v>
      </c>
      <c r="L25" s="29"/>
    </row>
    <row r="26" spans="2:12" ht="12.95" customHeight="1" outlineLevel="1" x14ac:dyDescent="0.2">
      <c r="B26" s="81" t="s">
        <v>7</v>
      </c>
      <c r="C26" s="24">
        <f>6738433158.2</f>
        <v>6738433158.1999998</v>
      </c>
      <c r="D26" s="24">
        <f>6462782490.76</f>
        <v>6462782490.7600002</v>
      </c>
      <c r="E26" s="24" t="s">
        <v>59</v>
      </c>
      <c r="F26" s="24" t="s">
        <v>59</v>
      </c>
      <c r="G26" s="24" t="s">
        <v>59</v>
      </c>
      <c r="H26" s="24" t="s">
        <v>59</v>
      </c>
      <c r="I26" s="24" t="s">
        <v>59</v>
      </c>
      <c r="J26" s="34">
        <f t="shared" si="0"/>
        <v>1.8696234729890593</v>
      </c>
      <c r="K26" s="34">
        <f t="shared" si="1"/>
        <v>95.909276519207424</v>
      </c>
      <c r="L26" s="29"/>
    </row>
    <row r="27" spans="2:12" ht="12.95" customHeight="1" outlineLevel="1" x14ac:dyDescent="0.2">
      <c r="B27" s="83" t="s">
        <v>6</v>
      </c>
      <c r="C27" s="24">
        <f>914764924.98</f>
        <v>914764924.98000002</v>
      </c>
      <c r="D27" s="24">
        <f>786693029.19</f>
        <v>786693029.19000006</v>
      </c>
      <c r="E27" s="24" t="s">
        <v>59</v>
      </c>
      <c r="F27" s="24" t="s">
        <v>59</v>
      </c>
      <c r="G27" s="24" t="s">
        <v>59</v>
      </c>
      <c r="H27" s="24" t="s">
        <v>59</v>
      </c>
      <c r="I27" s="24" t="s">
        <v>59</v>
      </c>
      <c r="J27" s="34">
        <f t="shared" si="0"/>
        <v>0.22758305041417665</v>
      </c>
      <c r="K27" s="34">
        <f t="shared" si="1"/>
        <v>85.99947458711317</v>
      </c>
      <c r="L27" s="29"/>
    </row>
    <row r="28" spans="2:12" ht="33" customHeight="1" outlineLevel="1" x14ac:dyDescent="0.2">
      <c r="B28" s="81" t="s">
        <v>10</v>
      </c>
      <c r="C28" s="24">
        <f>397427041.61</f>
        <v>397427041.61000001</v>
      </c>
      <c r="D28" s="24">
        <f>351931592.66</f>
        <v>351931592.66000003</v>
      </c>
      <c r="E28" s="24" t="s">
        <v>59</v>
      </c>
      <c r="F28" s="24" t="s">
        <v>59</v>
      </c>
      <c r="G28" s="24" t="s">
        <v>59</v>
      </c>
      <c r="H28" s="24" t="s">
        <v>59</v>
      </c>
      <c r="I28" s="24" t="s">
        <v>59</v>
      </c>
      <c r="J28" s="34">
        <f t="shared" si="0"/>
        <v>0.10181056959046506</v>
      </c>
      <c r="K28" s="34">
        <f t="shared" si="1"/>
        <v>88.552502928412892</v>
      </c>
      <c r="L28" s="29"/>
    </row>
    <row r="29" spans="2:12" ht="12.95" customHeight="1" outlineLevel="1" x14ac:dyDescent="0.2">
      <c r="B29" s="83" t="s">
        <v>6</v>
      </c>
      <c r="C29" s="24">
        <f>33353220.93</f>
        <v>33353220.93</v>
      </c>
      <c r="D29" s="24">
        <f>30891057.66</f>
        <v>30891057.66</v>
      </c>
      <c r="E29" s="24" t="s">
        <v>59</v>
      </c>
      <c r="F29" s="24" t="s">
        <v>59</v>
      </c>
      <c r="G29" s="24" t="s">
        <v>59</v>
      </c>
      <c r="H29" s="24" t="s">
        <v>59</v>
      </c>
      <c r="I29" s="24" t="s">
        <v>59</v>
      </c>
      <c r="J29" s="34">
        <f t="shared" si="0"/>
        <v>8.9364985730477128E-3</v>
      </c>
      <c r="K29" s="34">
        <f t="shared" si="1"/>
        <v>92.61791454814076</v>
      </c>
      <c r="L29" s="29"/>
    </row>
    <row r="30" spans="2:12" ht="27.95" customHeight="1" outlineLevel="1" x14ac:dyDescent="0.2">
      <c r="B30" s="81" t="s">
        <v>11</v>
      </c>
      <c r="C30" s="24">
        <f>1724064574.27</f>
        <v>1724064574.27</v>
      </c>
      <c r="D30" s="24">
        <f>1658410783.37</f>
        <v>1658410783.3699999</v>
      </c>
      <c r="E30" s="24" t="s">
        <v>59</v>
      </c>
      <c r="F30" s="24" t="s">
        <v>59</v>
      </c>
      <c r="G30" s="24" t="s">
        <v>59</v>
      </c>
      <c r="H30" s="24" t="s">
        <v>59</v>
      </c>
      <c r="I30" s="24" t="s">
        <v>59</v>
      </c>
      <c r="J30" s="34">
        <f t="shared" si="0"/>
        <v>0.47976297096177001</v>
      </c>
      <c r="K30" s="34">
        <f t="shared" si="1"/>
        <v>96.191918105631345</v>
      </c>
      <c r="L30" s="29"/>
    </row>
    <row r="31" spans="2:12" ht="12.95" customHeight="1" outlineLevel="1" x14ac:dyDescent="0.2">
      <c r="B31" s="83" t="s">
        <v>6</v>
      </c>
      <c r="C31" s="24">
        <f>355837045.78</f>
        <v>355837045.77999997</v>
      </c>
      <c r="D31" s="24">
        <f>305121207.44</f>
        <v>305121207.44</v>
      </c>
      <c r="E31" s="24" t="s">
        <v>59</v>
      </c>
      <c r="F31" s="24" t="s">
        <v>59</v>
      </c>
      <c r="G31" s="24" t="s">
        <v>59</v>
      </c>
      <c r="H31" s="24" t="s">
        <v>59</v>
      </c>
      <c r="I31" s="24" t="s">
        <v>59</v>
      </c>
      <c r="J31" s="34">
        <f t="shared" si="0"/>
        <v>8.8268756120477715E-2</v>
      </c>
      <c r="K31" s="34">
        <f t="shared" si="1"/>
        <v>85.747454082856905</v>
      </c>
      <c r="L31" s="29"/>
    </row>
    <row r="32" spans="2:12" ht="33.75" outlineLevel="1" x14ac:dyDescent="0.2">
      <c r="B32" s="81" t="s">
        <v>80</v>
      </c>
      <c r="C32" s="24">
        <f>1825697464.94</f>
        <v>1825697464.9400001</v>
      </c>
      <c r="D32" s="24">
        <f>1634829951.51</f>
        <v>1634829951.51</v>
      </c>
      <c r="E32" s="24" t="s">
        <v>59</v>
      </c>
      <c r="F32" s="24" t="s">
        <v>59</v>
      </c>
      <c r="G32" s="24" t="s">
        <v>59</v>
      </c>
      <c r="H32" s="24" t="s">
        <v>59</v>
      </c>
      <c r="I32" s="24" t="s">
        <v>59</v>
      </c>
      <c r="J32" s="34">
        <f t="shared" si="0"/>
        <v>0.47294125340882798</v>
      </c>
      <c r="K32" s="34">
        <f t="shared" si="1"/>
        <v>89.545501535969279</v>
      </c>
      <c r="L32" s="29"/>
    </row>
    <row r="33" spans="2:12" ht="12.95" customHeight="1" outlineLevel="1" x14ac:dyDescent="0.2">
      <c r="B33" s="83" t="s">
        <v>6</v>
      </c>
      <c r="C33" s="24">
        <f>1496767143.34</f>
        <v>1496767143.3399999</v>
      </c>
      <c r="D33" s="24">
        <f>1327262145.67</f>
        <v>1327262145.6700001</v>
      </c>
      <c r="E33" s="24" t="s">
        <v>59</v>
      </c>
      <c r="F33" s="24" t="s">
        <v>59</v>
      </c>
      <c r="G33" s="24" t="s">
        <v>59</v>
      </c>
      <c r="H33" s="24" t="s">
        <v>59</v>
      </c>
      <c r="I33" s="24" t="s">
        <v>59</v>
      </c>
      <c r="J33" s="34">
        <f t="shared" si="0"/>
        <v>0.38396471889658829</v>
      </c>
      <c r="K33" s="34">
        <f t="shared" si="1"/>
        <v>88.675259313098394</v>
      </c>
      <c r="L33" s="29"/>
    </row>
    <row r="34" spans="2:12" ht="12.95" customHeight="1" outlineLevel="1" x14ac:dyDescent="0.2">
      <c r="B34" s="81" t="s">
        <v>8</v>
      </c>
      <c r="C34" s="24">
        <f>729188064.75</f>
        <v>729188064.75</v>
      </c>
      <c r="D34" s="24">
        <f>694980335.53</f>
        <v>694980335.52999997</v>
      </c>
      <c r="E34" s="24" t="s">
        <v>59</v>
      </c>
      <c r="F34" s="24" t="s">
        <v>59</v>
      </c>
      <c r="G34" s="24" t="s">
        <v>59</v>
      </c>
      <c r="H34" s="24" t="s">
        <v>59</v>
      </c>
      <c r="I34" s="24" t="s">
        <v>59</v>
      </c>
      <c r="J34" s="34">
        <f t="shared" si="0"/>
        <v>0.20105141251936226</v>
      </c>
      <c r="K34" s="34">
        <f t="shared" si="1"/>
        <v>95.308791946323481</v>
      </c>
      <c r="L34" s="29"/>
    </row>
    <row r="35" spans="2:12" ht="12.95" customHeight="1" outlineLevel="1" x14ac:dyDescent="0.2">
      <c r="B35" s="83" t="s">
        <v>6</v>
      </c>
      <c r="C35" s="24">
        <f>566072539.31</f>
        <v>566072539.30999994</v>
      </c>
      <c r="D35" s="24">
        <f>539649521.31</f>
        <v>539649521.30999994</v>
      </c>
      <c r="E35" s="24" t="s">
        <v>59</v>
      </c>
      <c r="F35" s="24" t="s">
        <v>59</v>
      </c>
      <c r="G35" s="24" t="s">
        <v>59</v>
      </c>
      <c r="H35" s="24" t="s">
        <v>59</v>
      </c>
      <c r="I35" s="24" t="s">
        <v>59</v>
      </c>
      <c r="J35" s="34">
        <f t="shared" si="0"/>
        <v>0.15611563806626541</v>
      </c>
      <c r="K35" s="34">
        <f t="shared" si="1"/>
        <v>95.332220490291277</v>
      </c>
      <c r="L35" s="29"/>
    </row>
    <row r="36" spans="2:12" ht="67.5" outlineLevel="1" x14ac:dyDescent="0.2">
      <c r="B36" s="81" t="s">
        <v>99</v>
      </c>
      <c r="C36" s="24">
        <f>10821887.8</f>
        <v>10821887.800000001</v>
      </c>
      <c r="D36" s="24">
        <f>9073825.57</f>
        <v>9073825.5700000003</v>
      </c>
      <c r="E36" s="24" t="s">
        <v>59</v>
      </c>
      <c r="F36" s="24" t="s">
        <v>59</v>
      </c>
      <c r="G36" s="24" t="s">
        <v>59</v>
      </c>
      <c r="H36" s="24" t="s">
        <v>59</v>
      </c>
      <c r="I36" s="24" t="s">
        <v>59</v>
      </c>
      <c r="J36" s="34">
        <f t="shared" si="0"/>
        <v>2.6249741964448118E-3</v>
      </c>
      <c r="K36" s="34">
        <f t="shared" si="1"/>
        <v>83.84697510909325</v>
      </c>
      <c r="L36" s="29"/>
    </row>
    <row r="37" spans="2:12" ht="12.95" customHeight="1" outlineLevel="1" x14ac:dyDescent="0.2">
      <c r="B37" s="83" t="s">
        <v>97</v>
      </c>
      <c r="C37" s="24">
        <f>9479188.8</f>
        <v>9479188.8000000007</v>
      </c>
      <c r="D37" s="24">
        <f>7837337.86</f>
        <v>7837337.8600000003</v>
      </c>
      <c r="E37" s="24" t="s">
        <v>59</v>
      </c>
      <c r="F37" s="24" t="s">
        <v>59</v>
      </c>
      <c r="G37" s="24" t="s">
        <v>59</v>
      </c>
      <c r="H37" s="24" t="s">
        <v>59</v>
      </c>
      <c r="I37" s="24" t="s">
        <v>59</v>
      </c>
      <c r="J37" s="34">
        <f t="shared" si="0"/>
        <v>2.2672696860448907E-3</v>
      </c>
      <c r="K37" s="34">
        <f t="shared" si="1"/>
        <v>82.679415141515051</v>
      </c>
      <c r="L37" s="29"/>
    </row>
    <row r="38" spans="2:12" ht="45" outlineLevel="1" x14ac:dyDescent="0.2">
      <c r="B38" s="84" t="s">
        <v>96</v>
      </c>
      <c r="C38" s="24">
        <f>23656294164.55</f>
        <v>23656294164.549999</v>
      </c>
      <c r="D38" s="24">
        <f>18822393498.17</f>
        <v>18822393498.169998</v>
      </c>
      <c r="E38" s="24" t="s">
        <v>59</v>
      </c>
      <c r="F38" s="24" t="s">
        <v>59</v>
      </c>
      <c r="G38" s="24" t="s">
        <v>59</v>
      </c>
      <c r="H38" s="24" t="s">
        <v>59</v>
      </c>
      <c r="I38" s="24" t="s">
        <v>59</v>
      </c>
      <c r="J38" s="34">
        <f t="shared" si="0"/>
        <v>5.4451451448858785</v>
      </c>
      <c r="K38" s="34">
        <f t="shared" si="1"/>
        <v>79.566111949927404</v>
      </c>
      <c r="L38" s="29"/>
    </row>
    <row r="39" spans="2:12" ht="12.95" customHeight="1" outlineLevel="1" x14ac:dyDescent="0.2">
      <c r="B39" s="85" t="s">
        <v>6</v>
      </c>
      <c r="C39" s="24">
        <f>7315088721.48</f>
        <v>7315088721.4799995</v>
      </c>
      <c r="D39" s="24">
        <f>4677678966.57</f>
        <v>4677678966.5699997</v>
      </c>
      <c r="E39" s="24" t="s">
        <v>59</v>
      </c>
      <c r="F39" s="24" t="s">
        <v>59</v>
      </c>
      <c r="G39" s="24" t="s">
        <v>59</v>
      </c>
      <c r="H39" s="24" t="s">
        <v>59</v>
      </c>
      <c r="I39" s="24" t="s">
        <v>59</v>
      </c>
      <c r="J39" s="34">
        <f t="shared" si="0"/>
        <v>1.3532094585436121</v>
      </c>
      <c r="K39" s="34">
        <f t="shared" si="1"/>
        <v>63.945621778099294</v>
      </c>
      <c r="L39" s="29"/>
    </row>
    <row r="40" spans="2:12" ht="22.5" outlineLevel="1" x14ac:dyDescent="0.2">
      <c r="B40" s="84" t="s">
        <v>109</v>
      </c>
      <c r="C40" s="24">
        <f>7242512882.96</f>
        <v>7242512882.96</v>
      </c>
      <c r="D40" s="24">
        <f>6965370517.44</f>
        <v>6965370517.4399996</v>
      </c>
      <c r="E40" s="24" t="s">
        <v>59</v>
      </c>
      <c r="F40" s="24" t="s">
        <v>59</v>
      </c>
      <c r="G40" s="24" t="s">
        <v>59</v>
      </c>
      <c r="H40" s="24" t="s">
        <v>59</v>
      </c>
      <c r="I40" s="24" t="s">
        <v>59</v>
      </c>
      <c r="J40" s="34">
        <f t="shared" si="0"/>
        <v>2.0150175618768751</v>
      </c>
      <c r="K40" s="34">
        <f t="shared" si="1"/>
        <v>96.173394925233012</v>
      </c>
      <c r="L40" s="29"/>
    </row>
    <row r="41" spans="2:12" ht="12.95" customHeight="1" outlineLevel="1" x14ac:dyDescent="0.2">
      <c r="B41" s="85" t="s">
        <v>6</v>
      </c>
      <c r="C41" s="24">
        <f>5053435.43</f>
        <v>5053435.43</v>
      </c>
      <c r="D41" s="24">
        <f>4913367.93</f>
        <v>4913367.93</v>
      </c>
      <c r="E41" s="24" t="s">
        <v>59</v>
      </c>
      <c r="F41" s="24" t="s">
        <v>59</v>
      </c>
      <c r="G41" s="24" t="s">
        <v>59</v>
      </c>
      <c r="H41" s="24" t="s">
        <v>59</v>
      </c>
      <c r="I41" s="24" t="s">
        <v>59</v>
      </c>
      <c r="J41" s="34">
        <f t="shared" si="0"/>
        <v>1.421392105721232E-3</v>
      </c>
      <c r="K41" s="34">
        <f t="shared" si="1"/>
        <v>97.22827169872437</v>
      </c>
      <c r="L41" s="29"/>
    </row>
    <row r="42" spans="2:12" ht="14.1" customHeight="1" outlineLevel="1" x14ac:dyDescent="0.2">
      <c r="B42" s="82" t="s">
        <v>72</v>
      </c>
      <c r="C42" s="58">
        <f>2415918000.48</f>
        <v>2415918000.48</v>
      </c>
      <c r="D42" s="58">
        <f>1805348090.2</f>
        <v>1805348090.2</v>
      </c>
      <c r="E42" s="60" t="s">
        <v>59</v>
      </c>
      <c r="F42" s="60" t="s">
        <v>59</v>
      </c>
      <c r="G42" s="60" t="s">
        <v>59</v>
      </c>
      <c r="H42" s="60" t="s">
        <v>59</v>
      </c>
      <c r="I42" s="60" t="s">
        <v>59</v>
      </c>
      <c r="J42" s="59">
        <f t="shared" si="0"/>
        <v>0.52227058100433821</v>
      </c>
      <c r="K42" s="59">
        <f t="shared" si="1"/>
        <v>74.727208863931196</v>
      </c>
      <c r="L42" s="29"/>
    </row>
    <row r="43" spans="2:12" ht="12.95" customHeight="1" outlineLevel="1" x14ac:dyDescent="0.2">
      <c r="B43" s="88" t="s">
        <v>73</v>
      </c>
      <c r="C43" s="23">
        <f>1503242385.16</f>
        <v>1503242385.1600001</v>
      </c>
      <c r="D43" s="23">
        <f>1006759701.27</f>
        <v>1006759701.27</v>
      </c>
      <c r="E43" s="23" t="s">
        <v>59</v>
      </c>
      <c r="F43" s="23" t="s">
        <v>59</v>
      </c>
      <c r="G43" s="23" t="s">
        <v>59</v>
      </c>
      <c r="H43" s="23" t="s">
        <v>59</v>
      </c>
      <c r="I43" s="23" t="s">
        <v>59</v>
      </c>
      <c r="J43" s="34">
        <f t="shared" si="0"/>
        <v>0.29124631253565492</v>
      </c>
      <c r="K43" s="34">
        <f t="shared" si="1"/>
        <v>66.972546224662494</v>
      </c>
      <c r="L43" s="29"/>
    </row>
    <row r="44" spans="2:12" ht="14.1" customHeight="1" outlineLevel="1" x14ac:dyDescent="0.2">
      <c r="B44" s="82" t="s">
        <v>86</v>
      </c>
      <c r="C44" s="58">
        <f>16607579113.35</f>
        <v>16607579113.35</v>
      </c>
      <c r="D44" s="58">
        <f>13991273089.85</f>
        <v>13991273089.85</v>
      </c>
      <c r="E44" s="60" t="s">
        <v>59</v>
      </c>
      <c r="F44" s="60" t="s">
        <v>59</v>
      </c>
      <c r="G44" s="60" t="s">
        <v>59</v>
      </c>
      <c r="H44" s="60" t="s">
        <v>59</v>
      </c>
      <c r="I44" s="60" t="s">
        <v>59</v>
      </c>
      <c r="J44" s="59">
        <f t="shared" si="0"/>
        <v>4.0475464899496547</v>
      </c>
      <c r="K44" s="59">
        <f t="shared" si="1"/>
        <v>84.246313049944263</v>
      </c>
      <c r="L44" s="29"/>
    </row>
    <row r="45" spans="2:12" ht="12.95" customHeight="1" outlineLevel="1" x14ac:dyDescent="0.2">
      <c r="B45" s="88" t="s">
        <v>87</v>
      </c>
      <c r="C45" s="23">
        <f>12350106649.28</f>
        <v>12350106649.280001</v>
      </c>
      <c r="D45" s="23">
        <f>10075635555.16</f>
        <v>10075635555.16</v>
      </c>
      <c r="E45" s="23" t="s">
        <v>59</v>
      </c>
      <c r="F45" s="23" t="s">
        <v>59</v>
      </c>
      <c r="G45" s="23" t="s">
        <v>59</v>
      </c>
      <c r="H45" s="23" t="s">
        <v>59</v>
      </c>
      <c r="I45" s="23" t="s">
        <v>59</v>
      </c>
      <c r="J45" s="34">
        <f t="shared" si="0"/>
        <v>2.9147886016809221</v>
      </c>
      <c r="K45" s="34">
        <f t="shared" si="1"/>
        <v>81.583389045044399</v>
      </c>
      <c r="L45" s="29"/>
    </row>
    <row r="46" spans="2:12" ht="27.95" customHeight="1" x14ac:dyDescent="0.2">
      <c r="B46" s="77" t="s">
        <v>62</v>
      </c>
      <c r="C46" s="58">
        <f>C47+C48+C49+C50+C51+C52</f>
        <v>74830845285.449997</v>
      </c>
      <c r="D46" s="58">
        <f>D47+D48+D49+D50+D51+D52</f>
        <v>74917059353</v>
      </c>
      <c r="E46" s="60" t="s">
        <v>59</v>
      </c>
      <c r="F46" s="60" t="s">
        <v>59</v>
      </c>
      <c r="G46" s="60" t="s">
        <v>59</v>
      </c>
      <c r="H46" s="60" t="s">
        <v>59</v>
      </c>
      <c r="I46" s="60" t="s">
        <v>59</v>
      </c>
      <c r="J46" s="59">
        <f t="shared" si="0"/>
        <v>21.672815523954295</v>
      </c>
      <c r="K46" s="59">
        <f t="shared" si="1"/>
        <v>100.11521193863457</v>
      </c>
      <c r="L46" s="29"/>
    </row>
    <row r="47" spans="2:12" ht="15" customHeight="1" outlineLevel="1" x14ac:dyDescent="0.2">
      <c r="B47" s="30" t="s">
        <v>48</v>
      </c>
      <c r="C47" s="23">
        <f>14712355532</f>
        <v>14712355532</v>
      </c>
      <c r="D47" s="23">
        <f>14712308333</f>
        <v>14712308333</v>
      </c>
      <c r="E47" s="23" t="s">
        <v>59</v>
      </c>
      <c r="F47" s="23" t="s">
        <v>59</v>
      </c>
      <c r="G47" s="23" t="s">
        <v>59</v>
      </c>
      <c r="H47" s="23" t="s">
        <v>59</v>
      </c>
      <c r="I47" s="23" t="s">
        <v>59</v>
      </c>
      <c r="J47" s="34">
        <f t="shared" si="0"/>
        <v>4.2561353473609902</v>
      </c>
      <c r="K47" s="34">
        <f t="shared" si="1"/>
        <v>99.999679188013786</v>
      </c>
      <c r="L47" s="29"/>
    </row>
    <row r="48" spans="2:12" ht="15" customHeight="1" outlineLevel="1" x14ac:dyDescent="0.2">
      <c r="B48" s="30" t="s">
        <v>47</v>
      </c>
      <c r="C48" s="23">
        <f>55937386068.45</f>
        <v>55937386068.449997</v>
      </c>
      <c r="D48" s="23">
        <f>55942152671</f>
        <v>55942152671</v>
      </c>
      <c r="E48" s="23" t="s">
        <v>59</v>
      </c>
      <c r="F48" s="23" t="s">
        <v>59</v>
      </c>
      <c r="G48" s="23" t="s">
        <v>59</v>
      </c>
      <c r="H48" s="23" t="s">
        <v>59</v>
      </c>
      <c r="I48" s="23" t="s">
        <v>59</v>
      </c>
      <c r="J48" s="34">
        <f t="shared" si="0"/>
        <v>16.18354971914577</v>
      </c>
      <c r="K48" s="34">
        <f t="shared" si="1"/>
        <v>100.00852131800397</v>
      </c>
      <c r="L48" s="29"/>
    </row>
    <row r="49" spans="1:26" ht="15" customHeight="1" outlineLevel="1" x14ac:dyDescent="0.2">
      <c r="B49" s="30" t="s">
        <v>46</v>
      </c>
      <c r="C49" s="23">
        <f>3163087</f>
        <v>3163087</v>
      </c>
      <c r="D49" s="23">
        <f>3163087</f>
        <v>3163087</v>
      </c>
      <c r="E49" s="23" t="s">
        <v>59</v>
      </c>
      <c r="F49" s="23" t="s">
        <v>59</v>
      </c>
      <c r="G49" s="23" t="s">
        <v>59</v>
      </c>
      <c r="H49" s="23" t="s">
        <v>59</v>
      </c>
      <c r="I49" s="23" t="s">
        <v>59</v>
      </c>
      <c r="J49" s="34">
        <f t="shared" si="0"/>
        <v>9.1505194717006553E-4</v>
      </c>
      <c r="K49" s="34">
        <f t="shared" si="1"/>
        <v>100</v>
      </c>
      <c r="L49" s="29"/>
    </row>
    <row r="50" spans="1:26" ht="15" customHeight="1" outlineLevel="1" x14ac:dyDescent="0.2">
      <c r="B50" s="30" t="s">
        <v>45</v>
      </c>
      <c r="C50" s="23">
        <f>2188553948</f>
        <v>2188553948</v>
      </c>
      <c r="D50" s="23">
        <f>2188553948</f>
        <v>2188553948</v>
      </c>
      <c r="E50" s="23" t="s">
        <v>59</v>
      </c>
      <c r="F50" s="23" t="s">
        <v>59</v>
      </c>
      <c r="G50" s="23" t="s">
        <v>59</v>
      </c>
      <c r="H50" s="23" t="s">
        <v>59</v>
      </c>
      <c r="I50" s="23" t="s">
        <v>59</v>
      </c>
      <c r="J50" s="34">
        <f t="shared" si="0"/>
        <v>0.63312850756369787</v>
      </c>
      <c r="K50" s="34">
        <f t="shared" si="1"/>
        <v>100</v>
      </c>
      <c r="L50" s="29"/>
    </row>
    <row r="51" spans="1:26" ht="15" customHeight="1" outlineLevel="1" x14ac:dyDescent="0.2">
      <c r="B51" s="30" t="s">
        <v>58</v>
      </c>
      <c r="C51" s="23">
        <f>884998923</f>
        <v>884998923</v>
      </c>
      <c r="D51" s="23">
        <f>884998923</f>
        <v>884998923</v>
      </c>
      <c r="E51" s="23" t="s">
        <v>59</v>
      </c>
      <c r="F51" s="23" t="s">
        <v>59</v>
      </c>
      <c r="G51" s="23" t="s">
        <v>59</v>
      </c>
      <c r="H51" s="23" t="s">
        <v>59</v>
      </c>
      <c r="I51" s="23" t="s">
        <v>59</v>
      </c>
      <c r="J51" s="34">
        <f t="shared" si="0"/>
        <v>0.25602204041006804</v>
      </c>
      <c r="K51" s="34">
        <f t="shared" si="1"/>
        <v>100</v>
      </c>
      <c r="L51" s="29"/>
    </row>
    <row r="52" spans="1:26" ht="15" customHeight="1" outlineLevel="1" x14ac:dyDescent="0.2">
      <c r="B52" s="30" t="s">
        <v>43</v>
      </c>
      <c r="C52" s="23">
        <f>1104387727</f>
        <v>1104387727</v>
      </c>
      <c r="D52" s="23">
        <f>1185882391</f>
        <v>1185882391</v>
      </c>
      <c r="E52" s="23" t="s">
        <v>59</v>
      </c>
      <c r="F52" s="23" t="s">
        <v>59</v>
      </c>
      <c r="G52" s="23" t="s">
        <v>59</v>
      </c>
      <c r="H52" s="23" t="s">
        <v>59</v>
      </c>
      <c r="I52" s="23" t="s">
        <v>59</v>
      </c>
      <c r="J52" s="34">
        <f t="shared" si="0"/>
        <v>0.34306485752660076</v>
      </c>
      <c r="K52" s="34">
        <f t="shared" si="1"/>
        <v>107.37917146375531</v>
      </c>
      <c r="L52" s="29"/>
    </row>
    <row r="53" spans="1:26" s="6" customFormat="1" ht="13.5" customHeight="1" x14ac:dyDescent="0.2">
      <c r="A53" s="3"/>
      <c r="B53" s="21"/>
      <c r="C53" s="8"/>
      <c r="D53" s="9"/>
      <c r="E53" s="16"/>
      <c r="F53" s="16"/>
      <c r="G53" s="16"/>
      <c r="H53" s="16"/>
      <c r="I53" s="16"/>
      <c r="J53" s="10"/>
      <c r="K53" s="10"/>
      <c r="L53" s="4"/>
    </row>
    <row r="54" spans="1:26" s="6" customFormat="1" ht="18.75" customHeight="1" x14ac:dyDescent="0.2">
      <c r="A54" s="3"/>
      <c r="B54" s="62" t="s">
        <v>5</v>
      </c>
      <c r="C54" s="63">
        <f t="shared" ref="C54:I54" si="4">+C6</f>
        <v>354622330151.85999</v>
      </c>
      <c r="D54" s="63">
        <f t="shared" si="4"/>
        <v>345672943463.19</v>
      </c>
      <c r="E54" s="63">
        <f t="shared" si="4"/>
        <v>3812713588.0900002</v>
      </c>
      <c r="F54" s="63">
        <f t="shared" si="4"/>
        <v>963920761.33000004</v>
      </c>
      <c r="G54" s="63">
        <f t="shared" si="4"/>
        <v>129976036.78</v>
      </c>
      <c r="H54" s="63">
        <f t="shared" si="4"/>
        <v>182763866.27000001</v>
      </c>
      <c r="I54" s="63">
        <f t="shared" si="4"/>
        <v>6188040.2599999998</v>
      </c>
      <c r="J54" s="64">
        <f>IF($D$54=0,"",100*$D54/$D$54)</f>
        <v>100</v>
      </c>
      <c r="K54" s="64">
        <f>IF(C54=0,"",100*D54/C54)</f>
        <v>97.47636120803854</v>
      </c>
      <c r="L54" s="4"/>
    </row>
    <row r="55" spans="1:26" s="6" customFormat="1" ht="20.100000000000001" customHeight="1" x14ac:dyDescent="0.2">
      <c r="A55" s="3"/>
      <c r="B55" s="55" t="s">
        <v>75</v>
      </c>
      <c r="C55" s="56">
        <f>36723229780.99</f>
        <v>36723229780.989998</v>
      </c>
      <c r="D55" s="56">
        <f>29922252375.24</f>
        <v>29922252375.240002</v>
      </c>
      <c r="E55" s="56">
        <f>0</f>
        <v>0</v>
      </c>
      <c r="F55" s="56">
        <f>1551</f>
        <v>1551</v>
      </c>
      <c r="G55" s="56">
        <f>0</f>
        <v>0</v>
      </c>
      <c r="H55" s="56">
        <f>0</f>
        <v>0</v>
      </c>
      <c r="I55" s="56">
        <f>4840.65</f>
        <v>4840.6499999999996</v>
      </c>
      <c r="J55" s="35">
        <f>IF($D$54=0,"",100*$D55/$D$54)</f>
        <v>8.6562321237694313</v>
      </c>
      <c r="K55" s="35">
        <f>IF(C55=0,"",100*D55/C55)</f>
        <v>81.480448625271606</v>
      </c>
      <c r="L55" s="4"/>
    </row>
    <row r="56" spans="1:26" s="6" customFormat="1" ht="20.100000000000001" customHeight="1" x14ac:dyDescent="0.2">
      <c r="A56" s="3"/>
      <c r="B56" s="55" t="s">
        <v>76</v>
      </c>
      <c r="C56" s="56">
        <f>+C54-C55</f>
        <v>317899100370.87</v>
      </c>
      <c r="D56" s="56">
        <f t="shared" ref="D56:I56" si="5">+D54-D55</f>
        <v>315750691087.95001</v>
      </c>
      <c r="E56" s="56">
        <f t="shared" si="5"/>
        <v>3812713588.0900002</v>
      </c>
      <c r="F56" s="56">
        <f t="shared" si="5"/>
        <v>963919210.33000004</v>
      </c>
      <c r="G56" s="56">
        <f t="shared" si="5"/>
        <v>129976036.78</v>
      </c>
      <c r="H56" s="56">
        <f t="shared" si="5"/>
        <v>182763866.27000001</v>
      </c>
      <c r="I56" s="56">
        <f t="shared" si="5"/>
        <v>6183199.6099999994</v>
      </c>
      <c r="J56" s="35">
        <f>IF($D$54=0,"",100*$D56/$D$54)</f>
        <v>91.343767876230572</v>
      </c>
      <c r="K56" s="35">
        <f>IF(C56=0,"",100*D56/C56)</f>
        <v>99.324185164282127</v>
      </c>
      <c r="L56" s="4"/>
    </row>
    <row r="57" spans="1:26" s="6" customFormat="1" ht="13.5" customHeight="1" x14ac:dyDescent="0.2">
      <c r="A57" s="3"/>
      <c r="B57" s="92" t="s">
        <v>110</v>
      </c>
      <c r="C57" s="92"/>
      <c r="D57" s="92"/>
      <c r="E57" s="92"/>
      <c r="F57" s="92"/>
      <c r="G57" s="16"/>
      <c r="H57" s="16"/>
      <c r="I57" s="16"/>
      <c r="J57" s="16"/>
      <c r="K57" s="10"/>
      <c r="L57" s="10"/>
      <c r="M57" s="4"/>
    </row>
    <row r="58" spans="1:26" ht="27" customHeight="1" x14ac:dyDescent="0.2">
      <c r="B58" s="87" t="str">
        <f>CONCATENATE("Informacja z wykonania budżetów jednostek samorządu terytorialnego za ",$D$114," ",$C$115," roku")</f>
        <v>Informacja z wykonania budżetów jednostek samorządu terytorialnego za IV Kwartały 2022 roku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</row>
    <row r="59" spans="1:26" s="6" customFormat="1" ht="9.75" customHeight="1" x14ac:dyDescent="0.2">
      <c r="B59" s="7"/>
      <c r="C59" s="8"/>
      <c r="D59" s="9"/>
      <c r="E59" s="9"/>
      <c r="F59" s="5"/>
      <c r="G59" s="5"/>
      <c r="H59" s="5"/>
      <c r="I59" s="5"/>
      <c r="J59" s="5"/>
      <c r="K59" s="10"/>
      <c r="L59" s="10"/>
      <c r="M59" s="4"/>
    </row>
    <row r="60" spans="1:26" ht="29.25" customHeight="1" x14ac:dyDescent="0.2">
      <c r="B60" s="105" t="s">
        <v>0</v>
      </c>
      <c r="C60" s="93" t="s">
        <v>54</v>
      </c>
      <c r="D60" s="93" t="s">
        <v>56</v>
      </c>
      <c r="E60" s="93" t="s">
        <v>55</v>
      </c>
      <c r="F60" s="93" t="s">
        <v>12</v>
      </c>
      <c r="G60" s="93"/>
      <c r="H60" s="93"/>
      <c r="I60" s="119" t="s">
        <v>88</v>
      </c>
      <c r="J60" s="119" t="s">
        <v>2</v>
      </c>
      <c r="K60" s="116" t="s">
        <v>18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">
      <c r="B61" s="105"/>
      <c r="C61" s="93"/>
      <c r="D61" s="93"/>
      <c r="E61" s="93"/>
      <c r="F61" s="110" t="s">
        <v>57</v>
      </c>
      <c r="G61" s="94" t="s">
        <v>34</v>
      </c>
      <c r="H61" s="95"/>
      <c r="I61" s="120"/>
      <c r="J61" s="120"/>
      <c r="K61" s="117"/>
      <c r="L61" s="12"/>
      <c r="M61" s="1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66.75" customHeight="1" x14ac:dyDescent="0.2">
      <c r="B62" s="105"/>
      <c r="C62" s="93"/>
      <c r="D62" s="93"/>
      <c r="E62" s="93"/>
      <c r="F62" s="95"/>
      <c r="G62" s="18" t="s">
        <v>52</v>
      </c>
      <c r="H62" s="18" t="s">
        <v>53</v>
      </c>
      <c r="I62" s="121"/>
      <c r="J62" s="121"/>
      <c r="K62" s="118"/>
      <c r="L62" s="12"/>
      <c r="M62" s="11"/>
      <c r="N62" s="2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5" customHeight="1" x14ac:dyDescent="0.2">
      <c r="B63" s="105"/>
      <c r="C63" s="107" t="s">
        <v>79</v>
      </c>
      <c r="D63" s="108"/>
      <c r="E63" s="108"/>
      <c r="F63" s="108"/>
      <c r="G63" s="108"/>
      <c r="H63" s="109"/>
      <c r="I63" s="72"/>
      <c r="J63" s="106" t="s">
        <v>4</v>
      </c>
      <c r="K63" s="106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1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13" ht="27" customHeight="1" x14ac:dyDescent="0.2">
      <c r="B65" s="57" t="s">
        <v>63</v>
      </c>
      <c r="C65" s="63">
        <f>387505960554.34</f>
        <v>387505960554.34003</v>
      </c>
      <c r="D65" s="63">
        <f>353852755893.68</f>
        <v>353852755893.67999</v>
      </c>
      <c r="E65" s="63">
        <f>354350811171.49</f>
        <v>354350811171.48999</v>
      </c>
      <c r="F65" s="63">
        <f>14712770923.07</f>
        <v>14712770923.07</v>
      </c>
      <c r="G65" s="63">
        <f>2536986.78</f>
        <v>2536986.7799999998</v>
      </c>
      <c r="H65" s="63">
        <f>32285929.3</f>
        <v>32285929.300000001</v>
      </c>
      <c r="I65" s="69">
        <f>2173067151.93</f>
        <v>2173067151.9299998</v>
      </c>
      <c r="J65" s="50">
        <f>IF($D$65=0,"",100*$D65/$D$65)</f>
        <v>100</v>
      </c>
      <c r="K65" s="50">
        <f>IF(C65=0,"",100*D65/C65)</f>
        <v>91.315435609682496</v>
      </c>
    </row>
    <row r="66" spans="2:13" ht="16.5" customHeight="1" x14ac:dyDescent="0.2">
      <c r="B66" s="76" t="s">
        <v>14</v>
      </c>
      <c r="C66" s="26">
        <f>79867277452.8601</f>
        <v>79867277452.860107</v>
      </c>
      <c r="D66" s="26">
        <f>64902367111.73</f>
        <v>64902367111.730003</v>
      </c>
      <c r="E66" s="26">
        <f>65168860584.82</f>
        <v>65168860584.82</v>
      </c>
      <c r="F66" s="26">
        <f>1690420141.45</f>
        <v>1690420141.45</v>
      </c>
      <c r="G66" s="26">
        <f>61902.48</f>
        <v>61902.48</v>
      </c>
      <c r="H66" s="26">
        <f>8659856.57</f>
        <v>8659856.5700000003</v>
      </c>
      <c r="I66" s="70">
        <f>1969328894.79</f>
        <v>1969328894.79</v>
      </c>
      <c r="J66" s="50">
        <f t="shared" ref="J66:J74" si="6">IF($D$65=0,"",100*$D66/$D$65)</f>
        <v>18.34163109675789</v>
      </c>
      <c r="K66" s="50">
        <f t="shared" ref="K66:K74" si="7">IF(C66=0,"",100*D66/C66)</f>
        <v>81.262776423094152</v>
      </c>
    </row>
    <row r="67" spans="2:13" ht="18" customHeight="1" outlineLevel="1" x14ac:dyDescent="0.2">
      <c r="B67" s="30" t="s">
        <v>13</v>
      </c>
      <c r="C67" s="23">
        <f>75146456057.24</f>
        <v>75146456057.240005</v>
      </c>
      <c r="D67" s="23">
        <f>60306173414.8801</f>
        <v>60306173414.880096</v>
      </c>
      <c r="E67" s="23">
        <f>60572666887.97</f>
        <v>60572666887.970001</v>
      </c>
      <c r="F67" s="23">
        <f>1665829407.79</f>
        <v>1665829407.79</v>
      </c>
      <c r="G67" s="23">
        <f>61902.48</f>
        <v>61902.48</v>
      </c>
      <c r="H67" s="23">
        <f>8659856.57</f>
        <v>8659856.5700000003</v>
      </c>
      <c r="I67" s="71">
        <f>1969328894.79</f>
        <v>1969328894.79</v>
      </c>
      <c r="J67" s="50">
        <f t="shared" si="6"/>
        <v>17.042731025952481</v>
      </c>
      <c r="K67" s="50">
        <f t="shared" si="7"/>
        <v>80.251520269890207</v>
      </c>
    </row>
    <row r="68" spans="2:13" ht="27" customHeight="1" x14ac:dyDescent="0.2">
      <c r="B68" s="77" t="s">
        <v>64</v>
      </c>
      <c r="C68" s="63">
        <f t="shared" ref="C68:I68" si="8">C65-C66</f>
        <v>307638683101.47992</v>
      </c>
      <c r="D68" s="63">
        <f t="shared" si="8"/>
        <v>288950388781.95001</v>
      </c>
      <c r="E68" s="63">
        <f t="shared" si="8"/>
        <v>289181950586.66998</v>
      </c>
      <c r="F68" s="63">
        <f t="shared" si="8"/>
        <v>13022350781.619999</v>
      </c>
      <c r="G68" s="63">
        <f t="shared" si="8"/>
        <v>2475084.2999999998</v>
      </c>
      <c r="H68" s="63">
        <f t="shared" si="8"/>
        <v>23626072.73</v>
      </c>
      <c r="I68" s="69">
        <f t="shared" si="8"/>
        <v>203738257.13999987</v>
      </c>
      <c r="J68" s="50">
        <f t="shared" si="6"/>
        <v>81.658368903242106</v>
      </c>
      <c r="K68" s="50">
        <f t="shared" si="7"/>
        <v>93.925245638447464</v>
      </c>
    </row>
    <row r="69" spans="2:13" ht="23.1" customHeight="1" outlineLevel="1" x14ac:dyDescent="0.2">
      <c r="B69" s="30" t="s">
        <v>104</v>
      </c>
      <c r="C69" s="23">
        <f>116451104917.08</f>
        <v>116451104917.08</v>
      </c>
      <c r="D69" s="23">
        <f>113122828879.13</f>
        <v>113122828879.13</v>
      </c>
      <c r="E69" s="23">
        <f>113187076176.94</f>
        <v>113187076176.94</v>
      </c>
      <c r="F69" s="23">
        <f>9127719877.96001</f>
        <v>9127719877.9600105</v>
      </c>
      <c r="G69" s="23">
        <f>757284.8</f>
        <v>757284.8</v>
      </c>
      <c r="H69" s="23">
        <f>820533.53</f>
        <v>820533.53</v>
      </c>
      <c r="I69" s="71">
        <f>569540.01</f>
        <v>569540.01</v>
      </c>
      <c r="J69" s="50">
        <f t="shared" si="6"/>
        <v>31.968898643570078</v>
      </c>
      <c r="K69" s="50">
        <f t="shared" si="7"/>
        <v>97.141911156343312</v>
      </c>
    </row>
    <row r="70" spans="2:13" ht="18" customHeight="1" outlineLevel="1" x14ac:dyDescent="0.2">
      <c r="B70" s="30" t="s">
        <v>51</v>
      </c>
      <c r="C70" s="23">
        <f>32499550369.89</f>
        <v>32499550369.889999</v>
      </c>
      <c r="D70" s="23">
        <f>31710155880.8</f>
        <v>31710155880.799999</v>
      </c>
      <c r="E70" s="23">
        <f>31717228597.43</f>
        <v>31717228597.43</v>
      </c>
      <c r="F70" s="23">
        <f>14956460.05</f>
        <v>14956460.050000001</v>
      </c>
      <c r="G70" s="23">
        <f>0</f>
        <v>0</v>
      </c>
      <c r="H70" s="23">
        <f>67343.84</f>
        <v>67343.839999999997</v>
      </c>
      <c r="I70" s="71">
        <f>1956433.28</f>
        <v>1956433.28</v>
      </c>
      <c r="J70" s="50">
        <f t="shared" si="6"/>
        <v>8.9613985909799609</v>
      </c>
      <c r="K70" s="50">
        <f t="shared" si="7"/>
        <v>97.571060275894297</v>
      </c>
    </row>
    <row r="71" spans="2:13" ht="18" customHeight="1" outlineLevel="1" x14ac:dyDescent="0.2">
      <c r="B71" s="30" t="s">
        <v>50</v>
      </c>
      <c r="C71" s="23">
        <f>4521281011.62</f>
        <v>4521281011.6199999</v>
      </c>
      <c r="D71" s="23">
        <f>4320726433.89</f>
        <v>4320726433.8900003</v>
      </c>
      <c r="E71" s="23">
        <f>4321877749.88</f>
        <v>4321877749.8800001</v>
      </c>
      <c r="F71" s="23">
        <f>173405069.14</f>
        <v>173405069.13999999</v>
      </c>
      <c r="G71" s="23">
        <f>0</f>
        <v>0</v>
      </c>
      <c r="H71" s="23">
        <f>380356.09</f>
        <v>380356.09</v>
      </c>
      <c r="I71" s="71">
        <f>0</f>
        <v>0</v>
      </c>
      <c r="J71" s="50">
        <f t="shared" si="6"/>
        <v>1.221052079410178</v>
      </c>
      <c r="K71" s="50">
        <f t="shared" si="7"/>
        <v>95.564208966119111</v>
      </c>
    </row>
    <row r="72" spans="2:13" ht="23.1" customHeight="1" outlineLevel="1" x14ac:dyDescent="0.2">
      <c r="B72" s="30" t="s">
        <v>70</v>
      </c>
      <c r="C72" s="23">
        <f>154813723.23</f>
        <v>154813723.22999999</v>
      </c>
      <c r="D72" s="23">
        <f>44180768.43</f>
        <v>44180768.43</v>
      </c>
      <c r="E72" s="23">
        <f>44181411.09</f>
        <v>44181411.090000004</v>
      </c>
      <c r="F72" s="23">
        <f>0</f>
        <v>0</v>
      </c>
      <c r="G72" s="23">
        <f>0</f>
        <v>0</v>
      </c>
      <c r="H72" s="23">
        <f>0</f>
        <v>0</v>
      </c>
      <c r="I72" s="71">
        <f>0</f>
        <v>0</v>
      </c>
      <c r="J72" s="50">
        <f t="shared" si="6"/>
        <v>1.2485636382403851E-2</v>
      </c>
      <c r="K72" s="50">
        <f t="shared" si="7"/>
        <v>28.53801814737222</v>
      </c>
    </row>
    <row r="73" spans="2:13" ht="23.1" customHeight="1" outlineLevel="1" x14ac:dyDescent="0.2">
      <c r="B73" s="30" t="s">
        <v>71</v>
      </c>
      <c r="C73" s="23">
        <f>59336567369.86</f>
        <v>59336567369.860001</v>
      </c>
      <c r="D73" s="23">
        <f>56191809446.97</f>
        <v>56191809446.970001</v>
      </c>
      <c r="E73" s="23">
        <f>56208298984.28</f>
        <v>56208298984.279999</v>
      </c>
      <c r="F73" s="23">
        <f>265708135.85</f>
        <v>265708135.84999999</v>
      </c>
      <c r="G73" s="23">
        <f>13514.02</f>
        <v>13514.02</v>
      </c>
      <c r="H73" s="23">
        <f>1835627.2</f>
        <v>1835627.2</v>
      </c>
      <c r="I73" s="71">
        <f>347730.6</f>
        <v>347730.6</v>
      </c>
      <c r="J73" s="50">
        <f t="shared" si="6"/>
        <v>15.879997685775722</v>
      </c>
      <c r="K73" s="50">
        <f t="shared" si="7"/>
        <v>94.700135073052138</v>
      </c>
    </row>
    <row r="74" spans="2:13" ht="18" customHeight="1" outlineLevel="1" x14ac:dyDescent="0.2">
      <c r="B74" s="30" t="s">
        <v>49</v>
      </c>
      <c r="C74" s="23">
        <f t="shared" ref="C74:I74" si="9">C68-C69-C70-C71-C72-C73</f>
        <v>94675365709.799881</v>
      </c>
      <c r="D74" s="23">
        <f t="shared" si="9"/>
        <v>83560687372.730011</v>
      </c>
      <c r="E74" s="23">
        <f t="shared" si="9"/>
        <v>83703287667.049988</v>
      </c>
      <c r="F74" s="23">
        <f t="shared" si="9"/>
        <v>3440561238.6199884</v>
      </c>
      <c r="G74" s="23">
        <f t="shared" si="9"/>
        <v>1704285.4799999997</v>
      </c>
      <c r="H74" s="23">
        <f t="shared" si="9"/>
        <v>20522212.07</v>
      </c>
      <c r="I74" s="71">
        <f t="shared" si="9"/>
        <v>200864553.24999988</v>
      </c>
      <c r="J74" s="50">
        <f t="shared" si="6"/>
        <v>23.614536267123771</v>
      </c>
      <c r="K74" s="50">
        <f t="shared" si="7"/>
        <v>88.26022138521364</v>
      </c>
    </row>
    <row r="75" spans="2:13" ht="18.75" customHeight="1" x14ac:dyDescent="0.2">
      <c r="B75" s="20" t="s">
        <v>15</v>
      </c>
      <c r="C75" s="26">
        <f>C6-C65</f>
        <v>-32883630402.480042</v>
      </c>
      <c r="D75" s="26">
        <f>D6-D65</f>
        <v>-8179812430.4899902</v>
      </c>
      <c r="E75" s="28"/>
      <c r="F75" s="28"/>
      <c r="G75" s="14"/>
    </row>
    <row r="76" spans="2:13" ht="38.25" x14ac:dyDescent="0.2">
      <c r="B76" s="51" t="s">
        <v>107</v>
      </c>
      <c r="C76" s="52">
        <f>+C56-C68</f>
        <v>10260417269.390076</v>
      </c>
      <c r="D76" s="52">
        <f>+D56-D68</f>
        <v>26800302306</v>
      </c>
      <c r="E76" s="28"/>
      <c r="F76" s="28"/>
      <c r="G76" s="14"/>
    </row>
    <row r="77" spans="2:13" ht="12" customHeight="1" x14ac:dyDescent="0.2">
      <c r="B77" s="53"/>
      <c r="C77" s="54"/>
      <c r="D77" s="54"/>
      <c r="E77" s="54"/>
      <c r="F77" s="2"/>
      <c r="G77" s="2"/>
      <c r="H77" s="2"/>
      <c r="I77" s="2"/>
      <c r="L77" s="11"/>
      <c r="M77" s="11"/>
    </row>
    <row r="78" spans="2:13" ht="12" customHeight="1" x14ac:dyDescent="0.2">
      <c r="B78" s="90" t="s">
        <v>111</v>
      </c>
      <c r="C78" s="54"/>
      <c r="D78" s="54"/>
      <c r="E78" s="54"/>
      <c r="F78" s="2"/>
      <c r="G78" s="2"/>
      <c r="H78" s="2"/>
      <c r="I78" s="2"/>
      <c r="L78" s="11"/>
      <c r="M78" s="11"/>
    </row>
    <row r="79" spans="2:13" ht="27.95" customHeight="1" x14ac:dyDescent="0.2">
      <c r="B79" s="91" t="s">
        <v>74</v>
      </c>
      <c r="C79" s="63">
        <f>25828528811.68</f>
        <v>25828528811.68</v>
      </c>
      <c r="D79" s="63">
        <f>21077468830</f>
        <v>21077468830</v>
      </c>
      <c r="E79" s="63">
        <f>21172568391.82</f>
        <v>21172568391.82</v>
      </c>
      <c r="F79" s="63">
        <f>426520303.039999</f>
        <v>426520303.03999901</v>
      </c>
      <c r="G79" s="63">
        <f>0</f>
        <v>0</v>
      </c>
      <c r="H79" s="63">
        <f>73930.11</f>
        <v>73930.11</v>
      </c>
      <c r="I79" s="69">
        <f>230174736.86</f>
        <v>230174736.86000001</v>
      </c>
      <c r="J79" s="50">
        <f>IF($D$79=0,"",100*$D79/$D$79)</f>
        <v>100</v>
      </c>
      <c r="K79" s="50">
        <f>IF(C79=0,"",100*D79/C79)</f>
        <v>81.605379012019029</v>
      </c>
      <c r="L79" s="11"/>
    </row>
    <row r="80" spans="2:13" ht="20.100000000000001" customHeight="1" x14ac:dyDescent="0.2">
      <c r="B80" s="55" t="s">
        <v>77</v>
      </c>
      <c r="C80" s="65">
        <f>19327734328.72</f>
        <v>19327734328.720001</v>
      </c>
      <c r="D80" s="65">
        <f>15848776473.43</f>
        <v>15848776473.43</v>
      </c>
      <c r="E80" s="65">
        <f>15937980055.02</f>
        <v>15937980055.02</v>
      </c>
      <c r="F80" s="65">
        <f>343563255.52</f>
        <v>343563255.51999998</v>
      </c>
      <c r="G80" s="65">
        <f>0</f>
        <v>0</v>
      </c>
      <c r="H80" s="65">
        <f>48567.42</f>
        <v>48567.42</v>
      </c>
      <c r="I80" s="74">
        <f>223351468.52</f>
        <v>223351468.52000001</v>
      </c>
      <c r="J80" s="50">
        <f>IF($D$79=0,"",100*$D80/$D$79)</f>
        <v>75.192977872523798</v>
      </c>
      <c r="K80" s="50">
        <f>IF(C80=0,"",100*D80/C80)</f>
        <v>82.000177588738623</v>
      </c>
      <c r="L80" s="11"/>
    </row>
    <row r="81" spans="2:13" ht="20.100000000000001" customHeight="1" x14ac:dyDescent="0.2">
      <c r="B81" s="55" t="s">
        <v>78</v>
      </c>
      <c r="C81" s="65">
        <f t="shared" ref="C81:I81" si="10">C79-C80</f>
        <v>6500794482.9599991</v>
      </c>
      <c r="D81" s="65">
        <f t="shared" si="10"/>
        <v>5228692356.5699997</v>
      </c>
      <c r="E81" s="65">
        <f t="shared" si="10"/>
        <v>5234588336.7999992</v>
      </c>
      <c r="F81" s="65">
        <f t="shared" si="10"/>
        <v>82957047.519999027</v>
      </c>
      <c r="G81" s="65">
        <f t="shared" si="10"/>
        <v>0</v>
      </c>
      <c r="H81" s="65">
        <f t="shared" si="10"/>
        <v>25362.690000000002</v>
      </c>
      <c r="I81" s="74">
        <f t="shared" si="10"/>
        <v>6823268.3400000036</v>
      </c>
      <c r="J81" s="50">
        <f>IF($D$79=0,"",100*$D81/$D$79)</f>
        <v>24.807022127476205</v>
      </c>
      <c r="K81" s="50">
        <f>IF(C81=0,"",100*D81/C81)</f>
        <v>80.431589866062424</v>
      </c>
    </row>
    <row r="82" spans="2:13" ht="20.25" x14ac:dyDescent="0.2">
      <c r="B82" s="87" t="str">
        <f>CONCATENATE("Informacja z wykonania budżetów jednostek samorządu terytorialnego za ",$D$114," ",$C$115," roku")</f>
        <v>Informacja z wykonania budżetów jednostek samorządu terytorialnego za IV Kwartały 2022 roku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2:13" ht="18" customHeight="1" x14ac:dyDescent="0.2">
      <c r="B83" s="40" t="s">
        <v>16</v>
      </c>
      <c r="C83" s="73" t="s">
        <v>17</v>
      </c>
      <c r="D83" s="73" t="s">
        <v>1</v>
      </c>
      <c r="E83" s="96" t="s">
        <v>59</v>
      </c>
      <c r="F83" s="97"/>
      <c r="G83" s="97"/>
      <c r="H83" s="97"/>
      <c r="I83" s="98"/>
      <c r="J83" s="19" t="s">
        <v>26</v>
      </c>
      <c r="K83" s="19" t="s">
        <v>27</v>
      </c>
    </row>
    <row r="84" spans="2:13" x14ac:dyDescent="0.2">
      <c r="B84" s="40"/>
      <c r="C84" s="110" t="s">
        <v>79</v>
      </c>
      <c r="D84" s="111"/>
      <c r="E84" s="99"/>
      <c r="F84" s="100"/>
      <c r="G84" s="100"/>
      <c r="H84" s="100"/>
      <c r="I84" s="101"/>
      <c r="J84" s="114" t="s">
        <v>4</v>
      </c>
      <c r="K84" s="115"/>
    </row>
    <row r="85" spans="2:13" x14ac:dyDescent="0.2">
      <c r="B85" s="38">
        <v>1</v>
      </c>
      <c r="C85" s="73">
        <v>2</v>
      </c>
      <c r="D85" s="73">
        <v>3</v>
      </c>
      <c r="E85" s="102"/>
      <c r="F85" s="103"/>
      <c r="G85" s="103"/>
      <c r="H85" s="103"/>
      <c r="I85" s="104"/>
      <c r="J85" s="39">
        <v>4</v>
      </c>
      <c r="K85" s="39">
        <v>5</v>
      </c>
    </row>
    <row r="86" spans="2:13" ht="25.5" x14ac:dyDescent="0.2">
      <c r="B86" s="37" t="s">
        <v>65</v>
      </c>
      <c r="C86" s="42">
        <f>48757790625.48</f>
        <v>48757790625.480003</v>
      </c>
      <c r="D86" s="42">
        <f>62570426264.69</f>
        <v>62570426264.690002</v>
      </c>
      <c r="E86" s="42" t="s">
        <v>59</v>
      </c>
      <c r="F86" s="42" t="s">
        <v>59</v>
      </c>
      <c r="G86" s="42" t="s">
        <v>59</v>
      </c>
      <c r="H86" s="42" t="s">
        <v>59</v>
      </c>
      <c r="I86" s="42" t="s">
        <v>59</v>
      </c>
      <c r="J86" s="41">
        <f>IF($D$86=0,"",100*$D86/$D$86)</f>
        <v>100</v>
      </c>
      <c r="K86" s="36">
        <f t="shared" ref="K86:K99" si="11">IF(C86=0,"",100*D86/C86)</f>
        <v>128.32908436173429</v>
      </c>
    </row>
    <row r="87" spans="2:13" ht="22.5" x14ac:dyDescent="0.2">
      <c r="B87" s="78" t="s">
        <v>89</v>
      </c>
      <c r="C87" s="43">
        <f>12645541304.84</f>
        <v>12645541304.84</v>
      </c>
      <c r="D87" s="43">
        <f>9576410645.45</f>
        <v>9576410645.4500008</v>
      </c>
      <c r="E87" s="42" t="s">
        <v>59</v>
      </c>
      <c r="F87" s="42" t="s">
        <v>59</v>
      </c>
      <c r="G87" s="42" t="s">
        <v>59</v>
      </c>
      <c r="H87" s="42" t="s">
        <v>59</v>
      </c>
      <c r="I87" s="42" t="s">
        <v>59</v>
      </c>
      <c r="J87" s="48">
        <f t="shared" ref="J87:J94" si="12">IF($D$86=0,"",100*$D87/$D$86)</f>
        <v>15.305011036586466</v>
      </c>
      <c r="K87" s="49">
        <f t="shared" si="11"/>
        <v>75.729543042848562</v>
      </c>
    </row>
    <row r="88" spans="2:13" ht="22.5" x14ac:dyDescent="0.2">
      <c r="B88" s="79" t="s">
        <v>90</v>
      </c>
      <c r="C88" s="67">
        <f>1208413937.59</f>
        <v>1208413937.5899999</v>
      </c>
      <c r="D88" s="67">
        <f>1153902000</f>
        <v>1153902000</v>
      </c>
      <c r="E88" s="42" t="s">
        <v>59</v>
      </c>
      <c r="F88" s="42" t="s">
        <v>59</v>
      </c>
      <c r="G88" s="42" t="s">
        <v>59</v>
      </c>
      <c r="H88" s="42" t="s">
        <v>59</v>
      </c>
      <c r="I88" s="42" t="s">
        <v>59</v>
      </c>
      <c r="J88" s="68">
        <f t="shared" si="12"/>
        <v>1.844165157383904</v>
      </c>
      <c r="K88" s="66">
        <f t="shared" si="11"/>
        <v>95.488968151201917</v>
      </c>
    </row>
    <row r="89" spans="2:13" x14ac:dyDescent="0.2">
      <c r="B89" s="31" t="s">
        <v>91</v>
      </c>
      <c r="C89" s="67">
        <f>217701187.65</f>
        <v>217701187.65000001</v>
      </c>
      <c r="D89" s="67">
        <f>186601034.06</f>
        <v>186601034.06</v>
      </c>
      <c r="E89" s="42" t="s">
        <v>59</v>
      </c>
      <c r="F89" s="42" t="s">
        <v>59</v>
      </c>
      <c r="G89" s="42" t="s">
        <v>59</v>
      </c>
      <c r="H89" s="42" t="s">
        <v>59</v>
      </c>
      <c r="I89" s="42" t="s">
        <v>59</v>
      </c>
      <c r="J89" s="68">
        <f t="shared" si="12"/>
        <v>0.29822560784647151</v>
      </c>
      <c r="K89" s="66">
        <f t="shared" si="11"/>
        <v>85.714293097932028</v>
      </c>
    </row>
    <row r="90" spans="2:13" ht="48" customHeight="1" x14ac:dyDescent="0.2">
      <c r="B90" s="31" t="s">
        <v>100</v>
      </c>
      <c r="C90" s="67">
        <f>3804072472.09</f>
        <v>3804072472.0900002</v>
      </c>
      <c r="D90" s="67">
        <f>8909517032.25</f>
        <v>8909517032.25</v>
      </c>
      <c r="E90" s="42" t="s">
        <v>59</v>
      </c>
      <c r="F90" s="42" t="s">
        <v>59</v>
      </c>
      <c r="G90" s="42" t="s">
        <v>59</v>
      </c>
      <c r="H90" s="42" t="s">
        <v>59</v>
      </c>
      <c r="I90" s="42" t="s">
        <v>59</v>
      </c>
      <c r="J90" s="68">
        <f t="shared" si="12"/>
        <v>14.239182252907002</v>
      </c>
      <c r="K90" s="66">
        <f t="shared" si="11"/>
        <v>234.20997096185738</v>
      </c>
    </row>
    <row r="91" spans="2:13" ht="33.75" x14ac:dyDescent="0.2">
      <c r="B91" s="31" t="s">
        <v>101</v>
      </c>
      <c r="C91" s="67">
        <f>9560596372.09</f>
        <v>9560596372.0900002</v>
      </c>
      <c r="D91" s="67">
        <f>11496216584.54</f>
        <v>11496216584.540001</v>
      </c>
      <c r="E91" s="42" t="s">
        <v>59</v>
      </c>
      <c r="F91" s="42" t="s">
        <v>59</v>
      </c>
      <c r="G91" s="42" t="s">
        <v>59</v>
      </c>
      <c r="H91" s="42" t="s">
        <v>59</v>
      </c>
      <c r="I91" s="42" t="s">
        <v>59</v>
      </c>
      <c r="J91" s="68">
        <f t="shared" si="12"/>
        <v>18.373243193050758</v>
      </c>
      <c r="K91" s="66">
        <f t="shared" si="11"/>
        <v>120.24581037748446</v>
      </c>
    </row>
    <row r="92" spans="2:13" x14ac:dyDescent="0.2">
      <c r="B92" s="31" t="s">
        <v>92</v>
      </c>
      <c r="C92" s="67">
        <f>0</f>
        <v>0</v>
      </c>
      <c r="D92" s="67">
        <f>348143.76</f>
        <v>348143.76</v>
      </c>
      <c r="E92" s="42" t="s">
        <v>59</v>
      </c>
      <c r="F92" s="42" t="s">
        <v>59</v>
      </c>
      <c r="G92" s="42" t="s">
        <v>59</v>
      </c>
      <c r="H92" s="42" t="s">
        <v>59</v>
      </c>
      <c r="I92" s="42" t="s">
        <v>59</v>
      </c>
      <c r="J92" s="68">
        <f t="shared" si="12"/>
        <v>5.5640304978466469E-4</v>
      </c>
      <c r="K92" s="66" t="str">
        <f t="shared" si="11"/>
        <v/>
      </c>
    </row>
    <row r="93" spans="2:13" ht="33.75" x14ac:dyDescent="0.2">
      <c r="B93" s="31" t="s">
        <v>93</v>
      </c>
      <c r="C93" s="67">
        <f>21760789663.8</f>
        <v>21760789663.799999</v>
      </c>
      <c r="D93" s="67">
        <f>31636478131.38</f>
        <v>31636478131.380001</v>
      </c>
      <c r="E93" s="42" t="s">
        <v>59</v>
      </c>
      <c r="F93" s="42" t="s">
        <v>59</v>
      </c>
      <c r="G93" s="42" t="s">
        <v>59</v>
      </c>
      <c r="H93" s="42" t="s">
        <v>59</v>
      </c>
      <c r="I93" s="42" t="s">
        <v>59</v>
      </c>
      <c r="J93" s="68">
        <f t="shared" si="12"/>
        <v>50.561391411254021</v>
      </c>
      <c r="K93" s="66">
        <f t="shared" si="11"/>
        <v>145.38295080352083</v>
      </c>
    </row>
    <row r="94" spans="2:13" x14ac:dyDescent="0.2">
      <c r="B94" s="31" t="s">
        <v>81</v>
      </c>
      <c r="C94" s="67">
        <f>769089625.01</f>
        <v>769089625.00999999</v>
      </c>
      <c r="D94" s="67">
        <f>764854693.25</f>
        <v>764854693.25</v>
      </c>
      <c r="E94" s="42" t="s">
        <v>59</v>
      </c>
      <c r="F94" s="42" t="s">
        <v>59</v>
      </c>
      <c r="G94" s="42" t="s">
        <v>59</v>
      </c>
      <c r="H94" s="42" t="s">
        <v>59</v>
      </c>
      <c r="I94" s="42" t="s">
        <v>59</v>
      </c>
      <c r="J94" s="68">
        <f t="shared" si="12"/>
        <v>1.2223900953054971</v>
      </c>
      <c r="K94" s="66">
        <f t="shared" si="11"/>
        <v>99.449357835252954</v>
      </c>
    </row>
    <row r="95" spans="2:13" ht="25.5" x14ac:dyDescent="0.2">
      <c r="B95" s="37" t="s">
        <v>66</v>
      </c>
      <c r="C95" s="46">
        <f>15612503335.63</f>
        <v>15612503335.629999</v>
      </c>
      <c r="D95" s="46">
        <f>14993693531.33</f>
        <v>14993693531.33</v>
      </c>
      <c r="E95" s="42" t="s">
        <v>59</v>
      </c>
      <c r="F95" s="42" t="s">
        <v>59</v>
      </c>
      <c r="G95" s="42" t="s">
        <v>59</v>
      </c>
      <c r="H95" s="42" t="s">
        <v>59</v>
      </c>
      <c r="I95" s="42" t="s">
        <v>59</v>
      </c>
      <c r="J95" s="41">
        <f>IF($D$95=0,"",100*$D95/$D$95)</f>
        <v>100</v>
      </c>
      <c r="K95" s="36">
        <f t="shared" si="11"/>
        <v>96.03644725642566</v>
      </c>
    </row>
    <row r="96" spans="2:13" ht="22.5" x14ac:dyDescent="0.2">
      <c r="B96" s="78" t="s">
        <v>94</v>
      </c>
      <c r="C96" s="43">
        <f>9810845156.62</f>
        <v>9810845156.6200008</v>
      </c>
      <c r="D96" s="45">
        <f>9706606199.65</f>
        <v>9706606199.6499996</v>
      </c>
      <c r="E96" s="42" t="s">
        <v>59</v>
      </c>
      <c r="F96" s="42" t="s">
        <v>59</v>
      </c>
      <c r="G96" s="42" t="s">
        <v>59</v>
      </c>
      <c r="H96" s="42" t="s">
        <v>59</v>
      </c>
      <c r="I96" s="42" t="s">
        <v>59</v>
      </c>
      <c r="J96" s="48">
        <f>IF($D$95=0,"",100*$D96/$D$95)</f>
        <v>64.737925844406575</v>
      </c>
      <c r="K96" s="49">
        <f t="shared" si="11"/>
        <v>98.937512973592661</v>
      </c>
    </row>
    <row r="97" spans="2:11" x14ac:dyDescent="0.2">
      <c r="B97" s="79" t="s">
        <v>95</v>
      </c>
      <c r="C97" s="67">
        <f>686999727.02</f>
        <v>686999727.01999998</v>
      </c>
      <c r="D97" s="67">
        <f>686997727.02</f>
        <v>686997727.01999998</v>
      </c>
      <c r="E97" s="42" t="s">
        <v>59</v>
      </c>
      <c r="F97" s="42" t="s">
        <v>59</v>
      </c>
      <c r="G97" s="42" t="s">
        <v>59</v>
      </c>
      <c r="H97" s="42" t="s">
        <v>59</v>
      </c>
      <c r="I97" s="42" t="s">
        <v>59</v>
      </c>
      <c r="J97" s="68">
        <f>IF($D$95=0,"",100*$D97/$D$95)</f>
        <v>4.5819112254394634</v>
      </c>
      <c r="K97" s="66">
        <f t="shared" si="11"/>
        <v>99.999708879069189</v>
      </c>
    </row>
    <row r="98" spans="2:11" x14ac:dyDescent="0.2">
      <c r="B98" s="31" t="s">
        <v>102</v>
      </c>
      <c r="C98" s="67">
        <f>498131760.17</f>
        <v>498131760.17000002</v>
      </c>
      <c r="D98" s="67">
        <f>481554475.16</f>
        <v>481554475.16000003</v>
      </c>
      <c r="E98" s="42" t="s">
        <v>59</v>
      </c>
      <c r="F98" s="42" t="s">
        <v>59</v>
      </c>
      <c r="G98" s="42" t="s">
        <v>59</v>
      </c>
      <c r="H98" s="42" t="s">
        <v>59</v>
      </c>
      <c r="I98" s="42" t="s">
        <v>59</v>
      </c>
      <c r="J98" s="68">
        <f>IF($D$95=0,"",100*$D98/$D$95)</f>
        <v>3.2117134724260583</v>
      </c>
      <c r="K98" s="66">
        <f t="shared" si="11"/>
        <v>96.672108398721136</v>
      </c>
    </row>
    <row r="99" spans="2:11" x14ac:dyDescent="0.2">
      <c r="B99" s="80" t="s">
        <v>33</v>
      </c>
      <c r="C99" s="43">
        <f>5303526418.84</f>
        <v>5303526418.8400002</v>
      </c>
      <c r="D99" s="43">
        <f>4805532856.52</f>
        <v>4805532856.5200005</v>
      </c>
      <c r="E99" s="42" t="s">
        <v>59</v>
      </c>
      <c r="F99" s="42" t="s">
        <v>59</v>
      </c>
      <c r="G99" s="42" t="s">
        <v>59</v>
      </c>
      <c r="H99" s="42" t="s">
        <v>59</v>
      </c>
      <c r="I99" s="42" t="s">
        <v>59</v>
      </c>
      <c r="J99" s="48">
        <f>IF($D$95=0,"",100*$D99/$D$95)</f>
        <v>32.050360683167376</v>
      </c>
      <c r="K99" s="49">
        <f t="shared" si="11"/>
        <v>90.610142705220611</v>
      </c>
    </row>
    <row r="101" spans="2:11" ht="18" customHeight="1" x14ac:dyDescent="0.2">
      <c r="B101" s="40" t="s">
        <v>16</v>
      </c>
      <c r="C101" s="73" t="s">
        <v>17</v>
      </c>
      <c r="D101" s="19" t="s">
        <v>1</v>
      </c>
    </row>
    <row r="102" spans="2:11" x14ac:dyDescent="0.2">
      <c r="B102" s="40"/>
      <c r="C102" s="110" t="s">
        <v>79</v>
      </c>
      <c r="D102" s="111"/>
    </row>
    <row r="103" spans="2:11" x14ac:dyDescent="0.2">
      <c r="B103" s="38">
        <v>1</v>
      </c>
      <c r="C103" s="73">
        <v>2</v>
      </c>
      <c r="D103" s="19">
        <v>3</v>
      </c>
    </row>
    <row r="104" spans="2:11" ht="33.75" x14ac:dyDescent="0.2">
      <c r="B104" s="47" t="s">
        <v>108</v>
      </c>
      <c r="C104" s="44">
        <f>33433968109.66</f>
        <v>33433968109.66</v>
      </c>
      <c r="D104" s="27">
        <f>13489772431.63</f>
        <v>13489772431.629999</v>
      </c>
    </row>
    <row r="105" spans="2:11" ht="33.75" x14ac:dyDescent="0.2">
      <c r="B105" s="86" t="s">
        <v>82</v>
      </c>
      <c r="C105" s="45">
        <f>873823338.18</f>
        <v>873823338.17999995</v>
      </c>
      <c r="D105" s="75">
        <f>728227346.75</f>
        <v>728227346.75</v>
      </c>
    </row>
    <row r="106" spans="2:11" x14ac:dyDescent="0.2">
      <c r="B106" s="86" t="s">
        <v>83</v>
      </c>
      <c r="C106" s="45">
        <f>7802389831.51</f>
        <v>7802389831.5100002</v>
      </c>
      <c r="D106" s="75">
        <f>3596008462.66</f>
        <v>3596008462.6599998</v>
      </c>
    </row>
    <row r="107" spans="2:11" ht="22.5" x14ac:dyDescent="0.2">
      <c r="B107" s="86" t="s">
        <v>84</v>
      </c>
      <c r="C107" s="45">
        <f>0</f>
        <v>0</v>
      </c>
      <c r="D107" s="75">
        <f>0</f>
        <v>0</v>
      </c>
    </row>
    <row r="108" spans="2:11" ht="56.25" x14ac:dyDescent="0.2">
      <c r="B108" s="86" t="s">
        <v>103</v>
      </c>
      <c r="C108" s="45">
        <f>2621692922.23</f>
        <v>2621692922.23</v>
      </c>
      <c r="D108" s="75">
        <f>579848030.04</f>
        <v>579848030.03999996</v>
      </c>
    </row>
    <row r="109" spans="2:11" ht="78.75" x14ac:dyDescent="0.2">
      <c r="B109" s="86" t="s">
        <v>85</v>
      </c>
      <c r="C109" s="45">
        <f>13532907083.47</f>
        <v>13532907083.469999</v>
      </c>
      <c r="D109" s="75">
        <f>4450866287.42</f>
        <v>4450866287.4200001</v>
      </c>
    </row>
    <row r="110" spans="2:11" ht="146.25" x14ac:dyDescent="0.2">
      <c r="B110" s="86" t="s">
        <v>105</v>
      </c>
      <c r="C110" s="45">
        <f>8562157085.03</f>
        <v>8562157085.0299997</v>
      </c>
      <c r="D110" s="75">
        <f>4125059482.1</f>
        <v>4125059482.0999999</v>
      </c>
    </row>
    <row r="111" spans="2:11" ht="22.5" x14ac:dyDescent="0.2">
      <c r="B111" s="86" t="s">
        <v>98</v>
      </c>
      <c r="C111" s="45">
        <f>40997849.24</f>
        <v>40997849.240000002</v>
      </c>
      <c r="D111" s="75">
        <f>9762822.66</f>
        <v>9762822.6600000001</v>
      </c>
    </row>
    <row r="114" spans="2:4" x14ac:dyDescent="0.2">
      <c r="B114" s="32" t="s">
        <v>67</v>
      </c>
      <c r="C114" s="32">
        <f>4</f>
        <v>4</v>
      </c>
      <c r="D114" s="32" t="str">
        <f>IF(C114=1,"I Kwartał",IF(C114=2,"II Kwartały",IF(C114=3,"III Kwartały",IF(C114=4,"IV Kwartały",IF(C114="M1","Styczeń",IF(C114="M11","Listopad",IF(C114="M12","Grudzień","-")))))))</f>
        <v>IV Kwartały</v>
      </c>
    </row>
    <row r="115" spans="2:4" x14ac:dyDescent="0.2">
      <c r="B115" s="32" t="s">
        <v>68</v>
      </c>
      <c r="C115" s="89">
        <f>2022</f>
        <v>2022</v>
      </c>
    </row>
    <row r="116" spans="2:4" x14ac:dyDescent="0.2">
      <c r="B116" s="32" t="s">
        <v>69</v>
      </c>
      <c r="C116" s="112" t="str">
        <f>"Mar 23 2023 12:00AM"</f>
        <v>Mar 23 2023 12:00AM</v>
      </c>
      <c r="D116" s="113"/>
    </row>
  </sheetData>
  <mergeCells count="20">
    <mergeCell ref="C116:D116"/>
    <mergeCell ref="C102:D102"/>
    <mergeCell ref="J84:K84"/>
    <mergeCell ref="J63:K63"/>
    <mergeCell ref="K60:K62"/>
    <mergeCell ref="I60:I62"/>
    <mergeCell ref="J60:J62"/>
    <mergeCell ref="F60:H60"/>
    <mergeCell ref="C60:C62"/>
    <mergeCell ref="G61:H61"/>
    <mergeCell ref="E83:I85"/>
    <mergeCell ref="B3:B4"/>
    <mergeCell ref="J4:L4"/>
    <mergeCell ref="B60:B63"/>
    <mergeCell ref="C4:I4"/>
    <mergeCell ref="D60:D62"/>
    <mergeCell ref="E60:E62"/>
    <mergeCell ref="C63:H63"/>
    <mergeCell ref="C84:D84"/>
    <mergeCell ref="F61:F62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7" max="16383" man="1"/>
    <brk id="8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2023-03-29T10:46:54Z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2023-03-29T12:46:51.8421490+02:00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GRN-1e1e2f06-77b9-4c7e-a11b-03d0f84a5989</vt:lpwstr>
  </property>
  <property fmtid="{D5CDD505-2E9C-101B-9397-08002B2CF9AE}" pid="7" name="MFHash">
    <vt:lpwstr>9Nnm99pDcwSuKmYrB8lRhbSj8pDH3g5YwSE8dLuZ7uM=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