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C09159C8-B525-40DA-84B2-0DBB1B6C79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30" i="7" l="1"/>
  <c r="A85" i="7"/>
  <c r="A66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<sst xmlns="http://schemas.openxmlformats.org/spreadsheetml/2006/main" count="97" uniqueCount="81">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</sst>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activeCell="A2" sqref="A2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III Kwartały 2023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46538309232.71</f>
        <v>46538309232.709999</v>
      </c>
      <c r="C13" s="21">
        <f>24927073090.15</f>
        <v>24927073090.150002</v>
      </c>
      <c r="D13" s="21">
        <f>387958992.21</f>
        <v>387958992.20999998</v>
      </c>
      <c r="E13" s="21">
        <f>1625.28</f>
        <v>1625.28</v>
      </c>
      <c r="F13" s="21">
        <f>214701650.67</f>
        <v>214701650.66999999</v>
      </c>
      <c r="G13" s="21">
        <f>173191864.33</f>
        <v>173191864.33000001</v>
      </c>
      <c r="H13" s="21">
        <f>63851.93</f>
        <v>63851.93</v>
      </c>
      <c r="I13" s="21">
        <f>0</f>
        <v>0</v>
      </c>
      <c r="J13" s="21">
        <f>22145677487.35</f>
        <v>22145677487.349998</v>
      </c>
      <c r="K13" s="21">
        <f>970654946.1</f>
        <v>970654946.10000002</v>
      </c>
      <c r="L13" s="21">
        <f>1409039890.71</f>
        <v>1409039890.71</v>
      </c>
      <c r="M13" s="21">
        <f>12466978.03</f>
        <v>12466978.029999999</v>
      </c>
      <c r="N13" s="21">
        <f>1274795.75</f>
        <v>1274795.75</v>
      </c>
      <c r="O13" s="21">
        <f>21611236142.56</f>
        <v>21611236142.560001</v>
      </c>
      <c r="P13" s="21">
        <f>21357491811.63</f>
        <v>21357491811.630001</v>
      </c>
      <c r="Q13" s="21">
        <f>253744330.93</f>
        <v>253744330.93000001</v>
      </c>
    </row>
    <row r="14" spans="1:17" ht="38.25" customHeight="1" x14ac:dyDescent="0.2">
      <c r="A14" s="20" t="s">
        <v>48</v>
      </c>
      <c r="B14" s="21">
        <f>4781941000</f>
        <v>4781941000</v>
      </c>
      <c r="C14" s="21">
        <f>4781941000</f>
        <v>4781941000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4615441000</f>
        <v>4615441000</v>
      </c>
      <c r="K14" s="21">
        <f>166500000</f>
        <v>166500000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4781941000</f>
        <v>4781941000</v>
      </c>
      <c r="C16" s="22">
        <f>4781941000</f>
        <v>4781941000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4615441000</f>
        <v>4615441000</v>
      </c>
      <c r="K16" s="22">
        <f>166500000</f>
        <v>166500000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41734736731.6</f>
        <v>41734736731.599998</v>
      </c>
      <c r="C17" s="21">
        <f>20123503217.88</f>
        <v>20123503217.880001</v>
      </c>
      <c r="D17" s="21">
        <f>383633308.7</f>
        <v>383633308.69999999</v>
      </c>
      <c r="E17" s="21">
        <f>0</f>
        <v>0</v>
      </c>
      <c r="F17" s="21">
        <f>213483527.19</f>
        <v>213483527.19</v>
      </c>
      <c r="G17" s="21">
        <f>170149781.51</f>
        <v>170149781.50999999</v>
      </c>
      <c r="H17" s="21">
        <f>0</f>
        <v>0</v>
      </c>
      <c r="I17" s="21">
        <f>0</f>
        <v>0</v>
      </c>
      <c r="J17" s="21">
        <f>17530236487.35</f>
        <v>17530236487.349998</v>
      </c>
      <c r="K17" s="21">
        <f>804154946.1</f>
        <v>804154946.10000002</v>
      </c>
      <c r="L17" s="21">
        <f>1405428475.73</f>
        <v>1405428475.73</v>
      </c>
      <c r="M17" s="21">
        <f>50000</f>
        <v>50000</v>
      </c>
      <c r="N17" s="21">
        <f>0</f>
        <v>0</v>
      </c>
      <c r="O17" s="21">
        <f>21611233513.72</f>
        <v>21611233513.720001</v>
      </c>
      <c r="P17" s="21">
        <f>21357491811.63</f>
        <v>21357491811.630001</v>
      </c>
      <c r="Q17" s="21">
        <f>253741702.09</f>
        <v>253741702.09</v>
      </c>
    </row>
    <row r="18" spans="1:17" ht="38.25" customHeight="1" x14ac:dyDescent="0.2">
      <c r="A18" s="18" t="s">
        <v>52</v>
      </c>
      <c r="B18" s="22">
        <f>128129688.06</f>
        <v>128129688.06</v>
      </c>
      <c r="C18" s="22">
        <f>128129688.06</f>
        <v>128129688.06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127268589.66</f>
        <v>127268589.66</v>
      </c>
      <c r="K18" s="22">
        <f>0</f>
        <v>0</v>
      </c>
      <c r="L18" s="22">
        <f>861098.4</f>
        <v>861098.4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41606607043.54</f>
        <v>41606607043.540001</v>
      </c>
      <c r="C19" s="22">
        <f>19995373529.82</f>
        <v>19995373529.82</v>
      </c>
      <c r="D19" s="22">
        <f>383633308.7</f>
        <v>383633308.69999999</v>
      </c>
      <c r="E19" s="22">
        <f>0</f>
        <v>0</v>
      </c>
      <c r="F19" s="22">
        <f>213483527.19</f>
        <v>213483527.19</v>
      </c>
      <c r="G19" s="22">
        <f>170149781.51</f>
        <v>170149781.50999999</v>
      </c>
      <c r="H19" s="22">
        <f>0</f>
        <v>0</v>
      </c>
      <c r="I19" s="22">
        <f>0</f>
        <v>0</v>
      </c>
      <c r="J19" s="22">
        <f>17402967897.69</f>
        <v>17402967897.689999</v>
      </c>
      <c r="K19" s="22">
        <f>804154946.1</f>
        <v>804154946.10000002</v>
      </c>
      <c r="L19" s="22">
        <f>1404567377.33</f>
        <v>1404567377.3299999</v>
      </c>
      <c r="M19" s="22">
        <f>50000</f>
        <v>50000</v>
      </c>
      <c r="N19" s="22">
        <f>0</f>
        <v>0</v>
      </c>
      <c r="O19" s="22">
        <f>21611233513.72</f>
        <v>21611233513.720001</v>
      </c>
      <c r="P19" s="22">
        <f>21357491811.63</f>
        <v>21357491811.630001</v>
      </c>
      <c r="Q19" s="22">
        <f>253741702.09</f>
        <v>253741702.09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21631501.11</f>
        <v>21631501.109999999</v>
      </c>
      <c r="C21" s="21">
        <f>21628872.27</f>
        <v>21628872.27</v>
      </c>
      <c r="D21" s="21">
        <f>4325683.51</f>
        <v>4325683.51</v>
      </c>
      <c r="E21" s="21">
        <f>1625.28</f>
        <v>1625.28</v>
      </c>
      <c r="F21" s="21">
        <f>1218123.48</f>
        <v>1218123.48</v>
      </c>
      <c r="G21" s="21">
        <f>3042082.82</f>
        <v>3042082.82</v>
      </c>
      <c r="H21" s="21">
        <f>63851.93</f>
        <v>63851.93</v>
      </c>
      <c r="I21" s="21">
        <f>0</f>
        <v>0</v>
      </c>
      <c r="J21" s="21">
        <f>0</f>
        <v>0</v>
      </c>
      <c r="K21" s="21">
        <f>0</f>
        <v>0</v>
      </c>
      <c r="L21" s="21">
        <f>3611414.98</f>
        <v>3611414.98</v>
      </c>
      <c r="M21" s="21">
        <f>12416978.03</f>
        <v>12416978.029999999</v>
      </c>
      <c r="N21" s="21">
        <f>1274795.75</f>
        <v>1274795.75</v>
      </c>
      <c r="O21" s="21">
        <f>2628.84</f>
        <v>2628.84</v>
      </c>
      <c r="P21" s="21">
        <f>0</f>
        <v>0</v>
      </c>
      <c r="Q21" s="21">
        <f>2628.84</f>
        <v>2628.84</v>
      </c>
    </row>
    <row r="22" spans="1:17" ht="38.25" customHeight="1" x14ac:dyDescent="0.2">
      <c r="A22" s="18" t="s">
        <v>55</v>
      </c>
      <c r="B22" s="22">
        <f>16158377.8</f>
        <v>16158377.800000001</v>
      </c>
      <c r="C22" s="22">
        <f>16158377.8</f>
        <v>16158377.800000001</v>
      </c>
      <c r="D22" s="22">
        <f>1218068.37</f>
        <v>1218068.3700000001</v>
      </c>
      <c r="E22" s="22">
        <f>155.48</f>
        <v>155.47999999999999</v>
      </c>
      <c r="F22" s="22">
        <f>1217912.89</f>
        <v>1217912.8899999999</v>
      </c>
      <c r="G22" s="22">
        <f>0</f>
        <v>0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1820614.46</f>
        <v>1820614.46</v>
      </c>
      <c r="M22" s="22">
        <f>11845282.26</f>
        <v>11845282.26</v>
      </c>
      <c r="N22" s="22">
        <f>1274412.71</f>
        <v>1274412.71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5473123.31</f>
        <v>5473123.3099999996</v>
      </c>
      <c r="C23" s="22">
        <f>5470494.47</f>
        <v>5470494.4699999997</v>
      </c>
      <c r="D23" s="22">
        <f>3107615.14</f>
        <v>3107615.14</v>
      </c>
      <c r="E23" s="22">
        <f>1469.8</f>
        <v>1469.8</v>
      </c>
      <c r="F23" s="22">
        <f>210.59</f>
        <v>210.59</v>
      </c>
      <c r="G23" s="22">
        <f>3042082.82</f>
        <v>3042082.82</v>
      </c>
      <c r="H23" s="22">
        <f>63851.93</f>
        <v>63851.93</v>
      </c>
      <c r="I23" s="22">
        <f>0</f>
        <v>0</v>
      </c>
      <c r="J23" s="22">
        <f>0</f>
        <v>0</v>
      </c>
      <c r="K23" s="22">
        <f>0</f>
        <v>0</v>
      </c>
      <c r="L23" s="22">
        <f>1790800.52</f>
        <v>1790800.52</v>
      </c>
      <c r="M23" s="22">
        <f>571695.77</f>
        <v>571695.77</v>
      </c>
      <c r="N23" s="22">
        <f>383.04</f>
        <v>383.04</v>
      </c>
      <c r="O23" s="22">
        <f>2628.84</f>
        <v>2628.84</v>
      </c>
      <c r="P23" s="22">
        <f>0</f>
        <v>0</v>
      </c>
      <c r="Q23" s="22">
        <f>2628.84</f>
        <v>2628.84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III Kwartały 2023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100453.82</f>
        <v>100453.82</v>
      </c>
      <c r="C40" s="23">
        <f>100453.82</f>
        <v>100453.82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100453.82</f>
        <v>100453.82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100453.82</f>
        <v>100453.82</v>
      </c>
      <c r="C42" s="24">
        <f>100453.82</f>
        <v>100453.82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100453.82</f>
        <v>100453.82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370834235.89</f>
        <v>370834235.88999999</v>
      </c>
      <c r="C43" s="23">
        <f>370834235.89</f>
        <v>370834235.88999999</v>
      </c>
      <c r="D43" s="23">
        <f>144166474.76</f>
        <v>144166474.75999999</v>
      </c>
      <c r="E43" s="23">
        <f>2125</f>
        <v>2125</v>
      </c>
      <c r="F43" s="23">
        <f>0</f>
        <v>0</v>
      </c>
      <c r="G43" s="23">
        <f>144164349.76</f>
        <v>144164349.75999999</v>
      </c>
      <c r="H43" s="23">
        <f>0</f>
        <v>0</v>
      </c>
      <c r="I43" s="23">
        <f>0</f>
        <v>0</v>
      </c>
      <c r="J43" s="23">
        <f>0</f>
        <v>0</v>
      </c>
      <c r="K43" s="23">
        <f>4560</f>
        <v>4560</v>
      </c>
      <c r="L43" s="23">
        <f>136293164.59</f>
        <v>136293164.59</v>
      </c>
      <c r="M43" s="23">
        <f>80733277.29</f>
        <v>80733277.290000007</v>
      </c>
      <c r="N43" s="23">
        <f>9636759.25</f>
        <v>9636759.25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45648489.47</f>
        <v>45648489.469999999</v>
      </c>
      <c r="C44" s="24">
        <f>45648489.47</f>
        <v>45648489.469999999</v>
      </c>
      <c r="D44" s="24">
        <f>15302035.33</f>
        <v>15302035.33</v>
      </c>
      <c r="E44" s="24">
        <f>2125</f>
        <v>2125</v>
      </c>
      <c r="F44" s="24">
        <f>0</f>
        <v>0</v>
      </c>
      <c r="G44" s="24">
        <f>15299910.33</f>
        <v>15299910.33</v>
      </c>
      <c r="H44" s="24">
        <f>0</f>
        <v>0</v>
      </c>
      <c r="I44" s="24">
        <f>0</f>
        <v>0</v>
      </c>
      <c r="J44" s="24">
        <f>0</f>
        <v>0</v>
      </c>
      <c r="K44" s="24">
        <f>4560</f>
        <v>4560</v>
      </c>
      <c r="L44" s="24">
        <f>12536594.11</f>
        <v>12536594.109999999</v>
      </c>
      <c r="M44" s="24">
        <f>17405300.03</f>
        <v>17405300.030000001</v>
      </c>
      <c r="N44" s="24">
        <f>400000</f>
        <v>400000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325185746.42</f>
        <v>325185746.42000002</v>
      </c>
      <c r="C45" s="24">
        <f>325185746.42</f>
        <v>325185746.42000002</v>
      </c>
      <c r="D45" s="24">
        <f>128864439.43</f>
        <v>128864439.43000001</v>
      </c>
      <c r="E45" s="24">
        <f>0</f>
        <v>0</v>
      </c>
      <c r="F45" s="24">
        <f>0</f>
        <v>0</v>
      </c>
      <c r="G45" s="24">
        <f>128864439.43</f>
        <v>128864439.43000001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123756570.48</f>
        <v>123756570.48</v>
      </c>
      <c r="M45" s="24">
        <f>63327977.26</f>
        <v>63327977.259999998</v>
      </c>
      <c r="N45" s="24">
        <f>9236759.25</f>
        <v>9236759.25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11548497077.32</f>
        <v>11548497077.32</v>
      </c>
      <c r="C46" s="23">
        <f>11548497077.32</f>
        <v>11548497077.32</v>
      </c>
      <c r="D46" s="23">
        <f>15618784</f>
        <v>15618784</v>
      </c>
      <c r="E46" s="23">
        <f>88598.34</f>
        <v>88598.34</v>
      </c>
      <c r="F46" s="23">
        <f>28291</f>
        <v>28291</v>
      </c>
      <c r="G46" s="23">
        <f>15501894.66</f>
        <v>15501894.66</v>
      </c>
      <c r="H46" s="23">
        <f>0</f>
        <v>0</v>
      </c>
      <c r="I46" s="23">
        <f>7996550.36</f>
        <v>7996550.3600000003</v>
      </c>
      <c r="J46" s="23">
        <f>11522579635.71</f>
        <v>11522579635.709999</v>
      </c>
      <c r="K46" s="23">
        <f>115165.4</f>
        <v>115165.4</v>
      </c>
      <c r="L46" s="23">
        <f>2144262.28</f>
        <v>2144262.2799999998</v>
      </c>
      <c r="M46" s="23">
        <f>42030.66</f>
        <v>42030.66</v>
      </c>
      <c r="N46" s="23">
        <f>648.91</f>
        <v>648.91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8680505.94</f>
        <v>8680505.9399999995</v>
      </c>
      <c r="C47" s="24">
        <f>8680505.94</f>
        <v>8680505.9399999995</v>
      </c>
      <c r="D47" s="24">
        <f>8680505.94</f>
        <v>8680505.9399999995</v>
      </c>
      <c r="E47" s="24">
        <f>0</f>
        <v>0</v>
      </c>
      <c r="F47" s="24">
        <f>0</f>
        <v>0</v>
      </c>
      <c r="G47" s="24">
        <f>8680505.94</f>
        <v>8680505.9399999995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5461796110.22</f>
        <v>5461796110.2200003</v>
      </c>
      <c r="C48" s="24">
        <f>5461796110.22</f>
        <v>5461796110.2200003</v>
      </c>
      <c r="D48" s="24">
        <f>6772435.67</f>
        <v>6772435.6699999999</v>
      </c>
      <c r="E48" s="24">
        <f>14000</f>
        <v>14000</v>
      </c>
      <c r="F48" s="24">
        <f>0</f>
        <v>0</v>
      </c>
      <c r="G48" s="24">
        <f>6758435.67</f>
        <v>6758435.6699999999</v>
      </c>
      <c r="H48" s="24">
        <f>0</f>
        <v>0</v>
      </c>
      <c r="I48" s="24">
        <f>7912765.83</f>
        <v>7912765.8300000001</v>
      </c>
      <c r="J48" s="24">
        <f>5446049819.43</f>
        <v>5446049819.4300003</v>
      </c>
      <c r="K48" s="24">
        <f>115165.4</f>
        <v>115165.4</v>
      </c>
      <c r="L48" s="24">
        <f>945923.89</f>
        <v>945923.89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6078020461.16</f>
        <v>6078020461.1599998</v>
      </c>
      <c r="C49" s="24">
        <f>6078020461.16</f>
        <v>6078020461.1599998</v>
      </c>
      <c r="D49" s="24">
        <f>165842.39</f>
        <v>165842.39000000001</v>
      </c>
      <c r="E49" s="24">
        <f>74598.34</f>
        <v>74598.34</v>
      </c>
      <c r="F49" s="24">
        <f>28291</f>
        <v>28291</v>
      </c>
      <c r="G49" s="24">
        <f>62953.05</f>
        <v>62953.05</v>
      </c>
      <c r="H49" s="24">
        <f>0</f>
        <v>0</v>
      </c>
      <c r="I49" s="24">
        <f>83784.53</f>
        <v>83784.53</v>
      </c>
      <c r="J49" s="24">
        <f>6076529816.28</f>
        <v>6076529816.2799997</v>
      </c>
      <c r="K49" s="24">
        <f>0</f>
        <v>0</v>
      </c>
      <c r="L49" s="24">
        <f>1198338.39</f>
        <v>1198338.3899999999</v>
      </c>
      <c r="M49" s="24">
        <f>42030.66</f>
        <v>42030.66</v>
      </c>
      <c r="N49" s="24">
        <f>648.91</f>
        <v>648.91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12540414150.16</f>
        <v>12540414150.16</v>
      </c>
      <c r="C50" s="23">
        <f>12514547355.09</f>
        <v>12514547355.09</v>
      </c>
      <c r="D50" s="23">
        <f>381511676.44</f>
        <v>381511676.44</v>
      </c>
      <c r="E50" s="23">
        <f>72607081.47</f>
        <v>72607081.469999999</v>
      </c>
      <c r="F50" s="23">
        <f>14082003.05</f>
        <v>14082003.050000001</v>
      </c>
      <c r="G50" s="23">
        <f>294559375.69</f>
        <v>294559375.69</v>
      </c>
      <c r="H50" s="23">
        <f>263216.23</f>
        <v>263216.23</v>
      </c>
      <c r="I50" s="23">
        <f>663.17</f>
        <v>663.17</v>
      </c>
      <c r="J50" s="23">
        <f>297988.35</f>
        <v>297988.34999999998</v>
      </c>
      <c r="K50" s="23">
        <f>4564261.19</f>
        <v>4564261.1900000004</v>
      </c>
      <c r="L50" s="23">
        <f>2704079582.5</f>
        <v>2704079582.5</v>
      </c>
      <c r="M50" s="23">
        <f>9341108493.12</f>
        <v>9341108493.1200008</v>
      </c>
      <c r="N50" s="23">
        <f>82984690.32</f>
        <v>82984690.319999993</v>
      </c>
      <c r="O50" s="23">
        <f>25866795.07</f>
        <v>25866795.07</v>
      </c>
      <c r="P50" s="23">
        <f>13639165.28</f>
        <v>13639165.279999999</v>
      </c>
      <c r="Q50" s="23">
        <f>12227629.79</f>
        <v>12227629.789999999</v>
      </c>
    </row>
    <row r="51" spans="1:17" ht="26.25" customHeight="1" x14ac:dyDescent="0.2">
      <c r="A51" s="19" t="s">
        <v>37</v>
      </c>
      <c r="B51" s="24">
        <f>5143423456.99</f>
        <v>5143423456.9899998</v>
      </c>
      <c r="C51" s="24">
        <f>5140687624.14</f>
        <v>5140687624.1400003</v>
      </c>
      <c r="D51" s="24">
        <f>70212118.04</f>
        <v>70212118.040000007</v>
      </c>
      <c r="E51" s="24">
        <f>1094397.27</f>
        <v>1094397.27</v>
      </c>
      <c r="F51" s="24">
        <f>2987519.03</f>
        <v>2987519.03</v>
      </c>
      <c r="G51" s="24">
        <f>66128562.35</f>
        <v>66128562.350000001</v>
      </c>
      <c r="H51" s="24">
        <f>1639.39</f>
        <v>1639.39</v>
      </c>
      <c r="I51" s="24">
        <f>0</f>
        <v>0</v>
      </c>
      <c r="J51" s="24">
        <f>39781.6</f>
        <v>39781.599999999999</v>
      </c>
      <c r="K51" s="24">
        <f>458543.41</f>
        <v>458543.41</v>
      </c>
      <c r="L51" s="24">
        <f>658943796.89</f>
        <v>658943796.88999999</v>
      </c>
      <c r="M51" s="24">
        <f>4370857620.66</f>
        <v>4370857620.6599998</v>
      </c>
      <c r="N51" s="24">
        <f>40175763.54</f>
        <v>40175763.539999999</v>
      </c>
      <c r="O51" s="24">
        <f>2735832.85</f>
        <v>2735832.85</v>
      </c>
      <c r="P51" s="24">
        <f>674309.15</f>
        <v>674309.15</v>
      </c>
      <c r="Q51" s="24">
        <f>2061523.7</f>
        <v>2061523.7</v>
      </c>
    </row>
    <row r="52" spans="1:17" ht="26.25" customHeight="1" x14ac:dyDescent="0.2">
      <c r="A52" s="19" t="s">
        <v>38</v>
      </c>
      <c r="B52" s="24">
        <f>7396990693.17</f>
        <v>7396990693.1700001</v>
      </c>
      <c r="C52" s="24">
        <f>7373859730.95</f>
        <v>7373859730.9499998</v>
      </c>
      <c r="D52" s="24">
        <f>311299558.4</f>
        <v>311299558.39999998</v>
      </c>
      <c r="E52" s="24">
        <f>71512684.2</f>
        <v>71512684.200000003</v>
      </c>
      <c r="F52" s="24">
        <f>11094484.02</f>
        <v>11094484.02</v>
      </c>
      <c r="G52" s="24">
        <f>228430813.34</f>
        <v>228430813.34</v>
      </c>
      <c r="H52" s="24">
        <f>261576.84</f>
        <v>261576.84</v>
      </c>
      <c r="I52" s="24">
        <f>663.17</f>
        <v>663.17</v>
      </c>
      <c r="J52" s="24">
        <f>258206.75</f>
        <v>258206.75</v>
      </c>
      <c r="K52" s="24">
        <f>4105717.78</f>
        <v>4105717.78</v>
      </c>
      <c r="L52" s="24">
        <f>2045135785.61</f>
        <v>2045135785.6099999</v>
      </c>
      <c r="M52" s="24">
        <f>4970250872.46</f>
        <v>4970250872.46</v>
      </c>
      <c r="N52" s="24">
        <f>42808926.78</f>
        <v>42808926.780000001</v>
      </c>
      <c r="O52" s="24">
        <f>23130962.22</f>
        <v>23130962.219999999</v>
      </c>
      <c r="P52" s="24">
        <f>12964856.13</f>
        <v>12964856.130000001</v>
      </c>
      <c r="Q52" s="24">
        <f>10166106.09</f>
        <v>10166106.09</v>
      </c>
    </row>
    <row r="53" spans="1:17" ht="26.25" customHeight="1" x14ac:dyDescent="0.2">
      <c r="A53" s="25" t="s">
        <v>46</v>
      </c>
      <c r="B53" s="23">
        <f>6844466904.92</f>
        <v>6844466904.9200001</v>
      </c>
      <c r="C53" s="23">
        <f>6823061839.35</f>
        <v>6823061839.3500004</v>
      </c>
      <c r="D53" s="23">
        <f>698705405.79</f>
        <v>698705405.78999996</v>
      </c>
      <c r="E53" s="23">
        <f>299345406.1</f>
        <v>299345406.10000002</v>
      </c>
      <c r="F53" s="23">
        <f>41115258.51</f>
        <v>41115258.509999998</v>
      </c>
      <c r="G53" s="23">
        <f>351480053.8</f>
        <v>351480053.80000001</v>
      </c>
      <c r="H53" s="23">
        <f>6764687.38</f>
        <v>6764687.3799999999</v>
      </c>
      <c r="I53" s="23">
        <f>1254581.7</f>
        <v>1254581.7</v>
      </c>
      <c r="J53" s="23">
        <f>6737747.81</f>
        <v>6737747.8099999996</v>
      </c>
      <c r="K53" s="23">
        <f>22894880.62</f>
        <v>22894880.620000001</v>
      </c>
      <c r="L53" s="23">
        <f>4097434852.99</f>
        <v>4097434852.9899998</v>
      </c>
      <c r="M53" s="23">
        <f>1847039593.96</f>
        <v>1847039593.96</v>
      </c>
      <c r="N53" s="23">
        <f>148994776.48</f>
        <v>148994776.47999999</v>
      </c>
      <c r="O53" s="23">
        <f>21405065.57</f>
        <v>21405065.57</v>
      </c>
      <c r="P53" s="23">
        <f>8572173.56</f>
        <v>8572173.5600000005</v>
      </c>
      <c r="Q53" s="23">
        <f>12832892.01</f>
        <v>12832892.01</v>
      </c>
    </row>
    <row r="54" spans="1:17" ht="26.25" customHeight="1" x14ac:dyDescent="0.2">
      <c r="A54" s="19" t="s">
        <v>39</v>
      </c>
      <c r="B54" s="24">
        <f>709469544.7</f>
        <v>709469544.70000005</v>
      </c>
      <c r="C54" s="24">
        <f>708806668.13</f>
        <v>708806668.13</v>
      </c>
      <c r="D54" s="24">
        <f>48307906.82</f>
        <v>48307906.82</v>
      </c>
      <c r="E54" s="24">
        <f>2577527.71</f>
        <v>2577527.71</v>
      </c>
      <c r="F54" s="24">
        <f>2578494.55</f>
        <v>2578494.5499999998</v>
      </c>
      <c r="G54" s="24">
        <f>41690052.63</f>
        <v>41690052.630000003</v>
      </c>
      <c r="H54" s="24">
        <f>1461831.93</f>
        <v>1461831.93</v>
      </c>
      <c r="I54" s="24">
        <f>0</f>
        <v>0</v>
      </c>
      <c r="J54" s="24">
        <f>122816.43</f>
        <v>122816.43</v>
      </c>
      <c r="K54" s="24">
        <f>406819.79</f>
        <v>406819.79</v>
      </c>
      <c r="L54" s="24">
        <f>272752379.23</f>
        <v>272752379.23000002</v>
      </c>
      <c r="M54" s="24">
        <f>377744047.3</f>
        <v>377744047.30000001</v>
      </c>
      <c r="N54" s="24">
        <f>9472698.56</f>
        <v>9472698.5600000005</v>
      </c>
      <c r="O54" s="24">
        <f>662876.57</f>
        <v>662876.56999999995</v>
      </c>
      <c r="P54" s="24">
        <f>122648.21</f>
        <v>122648.21</v>
      </c>
      <c r="Q54" s="24">
        <f>540228.36</f>
        <v>540228.36</v>
      </c>
    </row>
    <row r="55" spans="1:17" ht="36.75" customHeight="1" x14ac:dyDescent="0.2">
      <c r="A55" s="19" t="s">
        <v>40</v>
      </c>
      <c r="B55" s="24">
        <f>3059785262.99</f>
        <v>3059785262.9899998</v>
      </c>
      <c r="C55" s="24">
        <f>3051528657.25</f>
        <v>3051528657.25</v>
      </c>
      <c r="D55" s="24">
        <f>196813493.85</f>
        <v>196813493.84999999</v>
      </c>
      <c r="E55" s="24">
        <f>56422800.28</f>
        <v>56422800.280000001</v>
      </c>
      <c r="F55" s="24">
        <f>28221466.49</f>
        <v>28221466.489999998</v>
      </c>
      <c r="G55" s="24">
        <f>110148984.88</f>
        <v>110148984.88</v>
      </c>
      <c r="H55" s="24">
        <f>2020242.2</f>
        <v>2020242.2</v>
      </c>
      <c r="I55" s="24">
        <f>1223610.53</f>
        <v>1223610.53</v>
      </c>
      <c r="J55" s="24">
        <f>5606248.63</f>
        <v>5606248.6299999999</v>
      </c>
      <c r="K55" s="24">
        <f>4731702.72</f>
        <v>4731702.72</v>
      </c>
      <c r="L55" s="24">
        <f>2364844765.15</f>
        <v>2364844765.1500001</v>
      </c>
      <c r="M55" s="24">
        <f>457384650.87</f>
        <v>457384650.87</v>
      </c>
      <c r="N55" s="24">
        <f>20924185.5</f>
        <v>20924185.5</v>
      </c>
      <c r="O55" s="24">
        <f>8256605.74</f>
        <v>8256605.7400000002</v>
      </c>
      <c r="P55" s="24">
        <f>7317017.36</f>
        <v>7317017.3600000003</v>
      </c>
      <c r="Q55" s="24">
        <f>939588.38</f>
        <v>939588.38</v>
      </c>
    </row>
    <row r="56" spans="1:17" ht="26.25" customHeight="1" x14ac:dyDescent="0.2">
      <c r="A56" s="19" t="s">
        <v>41</v>
      </c>
      <c r="B56" s="24">
        <f>3075212097.23</f>
        <v>3075212097.23</v>
      </c>
      <c r="C56" s="24">
        <f>3062726513.97</f>
        <v>3062726513.9699998</v>
      </c>
      <c r="D56" s="24">
        <f>453584005.12</f>
        <v>453584005.12</v>
      </c>
      <c r="E56" s="24">
        <f>240345078.11</f>
        <v>240345078.11000001</v>
      </c>
      <c r="F56" s="24">
        <f>10315297.47</f>
        <v>10315297.470000001</v>
      </c>
      <c r="G56" s="24">
        <f>199641016.29</f>
        <v>199641016.28999999</v>
      </c>
      <c r="H56" s="24">
        <f>3282613.25</f>
        <v>3282613.25</v>
      </c>
      <c r="I56" s="24">
        <f>30971.17</f>
        <v>30971.17</v>
      </c>
      <c r="J56" s="24">
        <f>1008682.75</f>
        <v>1008682.75</v>
      </c>
      <c r="K56" s="24">
        <f>17756358.11</f>
        <v>17756358.109999999</v>
      </c>
      <c r="L56" s="24">
        <f>1459837708.61</f>
        <v>1459837708.6099999</v>
      </c>
      <c r="M56" s="24">
        <f>1011910895.79</f>
        <v>1011910895.79</v>
      </c>
      <c r="N56" s="24">
        <f>118597892.42</f>
        <v>118597892.42</v>
      </c>
      <c r="O56" s="24">
        <f>12485583.26</f>
        <v>12485583.26</v>
      </c>
      <c r="P56" s="24">
        <f>1132507.99</f>
        <v>1132507.99</v>
      </c>
      <c r="Q56" s="24">
        <f>11353075.27</f>
        <v>11353075.27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III Kwartały 2023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1678964610.85</f>
        <v>1678964610.8499999</v>
      </c>
      <c r="G76" s="22">
        <f>225167702.65</f>
        <v>225167702.65000001</v>
      </c>
      <c r="H76" s="22">
        <f>19147000</f>
        <v>19147000</v>
      </c>
      <c r="I76" s="22">
        <f>78976751</f>
        <v>78976751</v>
      </c>
      <c r="J76" s="22">
        <f>127043951.65</f>
        <v>127043951.65000001</v>
      </c>
      <c r="K76" s="22">
        <f>0</f>
        <v>0</v>
      </c>
      <c r="L76" s="22">
        <f>1453796908.2</f>
        <v>1453796908.2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18025956.24</f>
        <v>18025956.239999998</v>
      </c>
      <c r="G78" s="22">
        <f>10400000</f>
        <v>10400000</v>
      </c>
      <c r="H78" s="22">
        <f>0</f>
        <v>0</v>
      </c>
      <c r="I78" s="22">
        <f>0</f>
        <v>0</v>
      </c>
      <c r="J78" s="22">
        <f>10400000</f>
        <v>10400000</v>
      </c>
      <c r="K78" s="22">
        <f>0</f>
        <v>0</v>
      </c>
      <c r="L78" s="22">
        <f>7625956.24</f>
        <v>7625956.2400000002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20500012.88</f>
        <v>20500012.879999999</v>
      </c>
      <c r="G79" s="22">
        <f>20000012.88</f>
        <v>20000012.879999999</v>
      </c>
      <c r="H79" s="22">
        <f>0</f>
        <v>0</v>
      </c>
      <c r="I79" s="22">
        <f>0</f>
        <v>0</v>
      </c>
      <c r="J79" s="22">
        <f>20000012.88</f>
        <v>20000012.879999999</v>
      </c>
      <c r="K79" s="22">
        <f>0</f>
        <v>0</v>
      </c>
      <c r="L79" s="22">
        <f>500000</f>
        <v>500000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6028319.73</f>
        <v>6028319.7300000004</v>
      </c>
      <c r="G80" s="22">
        <f>6028319.73</f>
        <v>6028319.7300000004</v>
      </c>
      <c r="H80" s="22">
        <f>0</f>
        <v>0</v>
      </c>
      <c r="I80" s="22">
        <f>0</f>
        <v>0</v>
      </c>
      <c r="J80" s="22">
        <f>6028319.73</f>
        <v>6028319.7300000004</v>
      </c>
      <c r="K80" s="22">
        <f>0</f>
        <v>0</v>
      </c>
      <c r="L80" s="22">
        <f>0</f>
        <v>0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7072227.23</f>
        <v>7072227.2300000004</v>
      </c>
      <c r="G81" s="22">
        <f>7072227.23</f>
        <v>7072227.2300000004</v>
      </c>
      <c r="H81" s="22">
        <f>0</f>
        <v>0</v>
      </c>
      <c r="I81" s="22">
        <f>0</f>
        <v>0</v>
      </c>
      <c r="J81" s="22">
        <f>7072227.23</f>
        <v>7072227.2300000004</v>
      </c>
      <c r="K81" s="22">
        <f>0</f>
        <v>0</v>
      </c>
      <c r="L81" s="22">
        <f>0</f>
        <v>0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III Kwartały 2023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43</f>
        <v>43</v>
      </c>
      <c r="H88" s="60"/>
      <c r="I88" s="46">
        <f>1892146993.67</f>
        <v>1892146993.6700001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23</f>
        <v>23</v>
      </c>
      <c r="H89" s="64"/>
      <c r="I89" s="48">
        <f>-1877826182.49</f>
        <v>-1877826182.49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3</f>
        <v>3</v>
      </c>
      <c r="C93" s="8" t="str">
        <f>IF(B93=1,"I Kwartał",IF(B93=2,"II Kwartały",IF(B93=3,"III Kwartały",IF(B93=4,"IV Kwartały","-"))))</f>
        <v>III Kwartały</v>
      </c>
    </row>
    <row r="94" spans="1:13" ht="13.5" customHeight="1" x14ac:dyDescent="0.2">
      <c r="A94" s="8" t="s">
        <v>10</v>
      </c>
      <c r="B94" s="8">
        <f>2023</f>
        <v>2023</v>
      </c>
      <c r="C94" s="9"/>
    </row>
    <row r="95" spans="1:13" ht="13.5" customHeight="1" x14ac:dyDescent="0.2">
      <c r="A95" s="8" t="s">
        <v>11</v>
      </c>
      <c r="B95" s="10" t="str">
        <f>"Nov 14 2023 12:00AM"</f>
        <v>Nov 14 2023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2023-11-27T09:46:42Z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2023-11-27T10:46:40.7007065+01:00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GRN-b78cdc48-5265-4591-b816-79ce8e2d5b25</vt:lpwstr>
  </property>
  <property fmtid="{D5CDD505-2E9C-101B-9397-08002B2CF9AE}" pid="7" name="MFHash">
    <vt:lpwstr>WBcX3UZvU4l04qW+bYHwBnHj5ov0G+irigNnNYbVYH8=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